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WELINA\Desktop\SGR_2021_2027\03_Konsultacje\00_Ankietowanie\05_Ankieta_wskaźniki_poprawione_ostateczne\"/>
    </mc:Choice>
  </mc:AlternateContent>
  <bookViews>
    <workbookView xWindow="0" yWindow="0" windowWidth="23040" windowHeight="8904"/>
  </bookViews>
  <sheets>
    <sheet name="Wskaźniki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2" l="1"/>
  <c r="G9" i="2"/>
  <c r="F71" i="2"/>
  <c r="E50" i="2"/>
  <c r="E32" i="2"/>
  <c r="L12" i="2"/>
  <c r="L30" i="2"/>
  <c r="E5" i="2"/>
  <c r="F81" i="2" l="1"/>
  <c r="F3" i="2"/>
  <c r="G3" i="2"/>
  <c r="H3" i="2"/>
  <c r="E78" i="2" l="1"/>
  <c r="G78" i="2"/>
  <c r="D78" i="2"/>
  <c r="F78" i="2"/>
  <c r="F15" i="2"/>
  <c r="H78" i="2"/>
  <c r="J78" i="2" l="1"/>
  <c r="G30" i="2"/>
  <c r="J79" i="2" l="1"/>
  <c r="J80" i="2"/>
  <c r="J13" i="2" l="1"/>
  <c r="J16" i="2" s="1"/>
  <c r="J52" i="2"/>
  <c r="J55" i="2"/>
  <c r="J43" i="2"/>
  <c r="D35" i="2" l="1"/>
  <c r="D5" i="2"/>
  <c r="J58" i="2"/>
  <c r="H56" i="2"/>
  <c r="J25" i="2"/>
  <c r="J49" i="2" s="1"/>
  <c r="M19" i="2"/>
  <c r="M17" i="2"/>
  <c r="L17" i="2"/>
  <c r="L14" i="2"/>
  <c r="L16" i="2" s="1"/>
  <c r="M5" i="2"/>
  <c r="L31" i="2" l="1"/>
  <c r="L50" i="2" l="1"/>
  <c r="J12" i="2" l="1"/>
  <c r="I48" i="2" l="1"/>
  <c r="G53" i="2"/>
  <c r="M53" i="2"/>
  <c r="M50" i="2"/>
  <c r="G50" i="2"/>
  <c r="M48" i="2"/>
  <c r="E48" i="2"/>
  <c r="D74" i="2" s="1"/>
  <c r="F45" i="2"/>
  <c r="F42" i="2"/>
  <c r="J30" i="2"/>
  <c r="F17" i="2"/>
  <c r="F48" i="2" l="1"/>
  <c r="H48" i="2" s="1"/>
  <c r="G48" i="2"/>
  <c r="F12" i="2"/>
  <c r="F9" i="2"/>
  <c r="F5" i="2" l="1"/>
  <c r="H5" i="2" s="1"/>
  <c r="F56" i="2" l="1"/>
  <c r="F53" i="2"/>
  <c r="H53" i="2" s="1"/>
  <c r="F50" i="2"/>
  <c r="H50" i="2" s="1"/>
  <c r="F35" i="2"/>
  <c r="F30" i="2"/>
  <c r="F27" i="2"/>
  <c r="F24" i="2"/>
  <c r="B74" i="2"/>
  <c r="B72" i="2"/>
  <c r="A72" i="2"/>
  <c r="F32" i="2" l="1"/>
  <c r="H32" i="2" s="1"/>
  <c r="E38" i="2"/>
  <c r="F60" i="2"/>
  <c r="E60" i="2"/>
  <c r="F39" i="2"/>
  <c r="E39" i="2"/>
  <c r="F21" i="2"/>
  <c r="E20" i="2"/>
  <c r="F38" i="2" l="1"/>
  <c r="E40" i="2"/>
  <c r="F63" i="2"/>
  <c r="G17" i="2" l="1"/>
  <c r="H17" i="2"/>
  <c r="M35" i="2" l="1"/>
  <c r="J31" i="2"/>
  <c r="J36" i="2" s="1"/>
  <c r="G45" i="2"/>
  <c r="H45" i="2"/>
  <c r="G42" i="2"/>
  <c r="H35" i="2"/>
  <c r="G27" i="2"/>
  <c r="H27" i="2"/>
  <c r="G5" i="2" l="1"/>
  <c r="H42" i="2"/>
  <c r="G56" i="2"/>
  <c r="G32" i="2"/>
  <c r="H24" i="2"/>
  <c r="F20" i="2"/>
  <c r="F22" i="2" s="1"/>
  <c r="J18" i="2" l="1"/>
  <c r="F59" i="2"/>
  <c r="F62" i="2" s="1"/>
  <c r="F64" i="2" l="1"/>
  <c r="F61" i="2"/>
  <c r="E21" i="2"/>
  <c r="L15" i="2"/>
  <c r="E63" i="2" l="1"/>
  <c r="E22" i="2"/>
  <c r="J14" i="2"/>
  <c r="L53" i="2"/>
  <c r="L56" i="2" s="1"/>
  <c r="J26" i="2" l="1"/>
  <c r="J19" i="2"/>
  <c r="G35" i="2"/>
  <c r="F40" i="2" l="1"/>
  <c r="E59" i="2"/>
  <c r="E61" i="2" l="1"/>
  <c r="E62" i="2"/>
  <c r="E66" i="2" s="1"/>
  <c r="E64" i="2" l="1"/>
  <c r="D75" i="2" s="1"/>
  <c r="F68" i="2" l="1"/>
  <c r="B75" i="2"/>
  <c r="A74" i="2"/>
</calcChain>
</file>

<file path=xl/comments1.xml><?xml version="1.0" encoding="utf-8"?>
<comments xmlns="http://schemas.openxmlformats.org/spreadsheetml/2006/main">
  <authors>
    <author>EWELINA</author>
  </authors>
  <commentList>
    <comment ref="A3" authorId="0" shapeId="0">
      <text>
        <r>
          <rPr>
            <b/>
            <sz val="9"/>
            <color indexed="81"/>
            <rFont val="Tahoma"/>
            <family val="2"/>
            <charset val="238"/>
          </rPr>
          <t>EWELINA:</t>
        </r>
        <r>
          <rPr>
            <sz val="9"/>
            <color indexed="81"/>
            <rFont val="Tahoma"/>
            <family val="2"/>
            <charset val="238"/>
          </rPr>
          <t xml:space="preserve">
działania edukacyjne do 10% kosztów projektu</t>
        </r>
      </text>
    </comment>
    <comment ref="A9" authorId="0" shapeId="0">
      <text>
        <r>
          <rPr>
            <b/>
            <sz val="9"/>
            <color indexed="81"/>
            <rFont val="Tahoma"/>
            <family val="2"/>
            <charset val="238"/>
          </rPr>
          <t>EWELINA:</t>
        </r>
        <r>
          <rPr>
            <sz val="9"/>
            <color indexed="81"/>
            <rFont val="Tahoma"/>
            <family val="2"/>
            <charset val="238"/>
          </rPr>
          <t xml:space="preserve">
zdalne miejsca pracy - punkty, punkty - szkolenie kadry, zatrudnienie osóz grup def)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  <charset val="238"/>
          </rPr>
          <t>EWELINA:</t>
        </r>
        <r>
          <rPr>
            <sz val="9"/>
            <color indexed="81"/>
            <rFont val="Tahoma"/>
            <family val="2"/>
            <charset val="238"/>
          </rPr>
          <t xml:space="preserve">
4 podejmowanie (150 000), 4 rozwój (500 000)</t>
        </r>
      </text>
    </comment>
    <comment ref="K12" authorId="0" shapeId="0">
      <text>
        <r>
          <rPr>
            <b/>
            <sz val="9"/>
            <color indexed="81"/>
            <rFont val="Tahoma"/>
            <family val="2"/>
            <charset val="238"/>
          </rPr>
          <t>EWELINA:</t>
        </r>
        <r>
          <rPr>
            <sz val="9"/>
            <color indexed="81"/>
            <rFont val="Tahoma"/>
            <family val="2"/>
            <charset val="238"/>
          </rPr>
          <t xml:space="preserve">
2 podejmowanie (150 tyś.), 2 rozowj (500 tyś.)</t>
        </r>
      </text>
    </comment>
    <comment ref="K15" authorId="0" shapeId="0">
      <text>
        <r>
          <rPr>
            <b/>
            <sz val="9"/>
            <color indexed="81"/>
            <rFont val="Tahoma"/>
            <family val="2"/>
            <charset val="238"/>
          </rPr>
          <t>EWELINA:</t>
        </r>
        <r>
          <rPr>
            <sz val="9"/>
            <color indexed="81"/>
            <rFont val="Tahoma"/>
            <family val="2"/>
            <charset val="238"/>
          </rPr>
          <t xml:space="preserve">
1 podejmowanie (150 000zł), 2 rozój (300 tyś. zł)</t>
        </r>
      </text>
    </comment>
    <comment ref="K30" authorId="0" shapeId="0">
      <text>
        <r>
          <rPr>
            <b/>
            <sz val="9"/>
            <color indexed="81"/>
            <rFont val="Tahoma"/>
            <family val="2"/>
            <charset val="238"/>
          </rPr>
          <t>EWELINA:</t>
        </r>
        <r>
          <rPr>
            <sz val="9"/>
            <color indexed="81"/>
            <rFont val="Tahoma"/>
            <family val="2"/>
            <charset val="238"/>
          </rPr>
          <t xml:space="preserve">
1 podejmowanie - 150 000 + 1 rozwój - reszta kasy</t>
        </r>
      </text>
    </comment>
    <comment ref="K32" authorId="0" shapeId="0">
      <text>
        <r>
          <rPr>
            <b/>
            <sz val="9"/>
            <color indexed="81"/>
            <rFont val="Tahoma"/>
            <family val="2"/>
            <charset val="238"/>
          </rPr>
          <t>EWELINA:</t>
        </r>
        <r>
          <rPr>
            <sz val="9"/>
            <color indexed="81"/>
            <rFont val="Tahoma"/>
            <family val="2"/>
            <charset val="238"/>
          </rPr>
          <t xml:space="preserve">
pomyłka</t>
        </r>
      </text>
    </comment>
    <comment ref="K33" authorId="0" shapeId="0">
      <text>
        <r>
          <rPr>
            <b/>
            <sz val="9"/>
            <color indexed="81"/>
            <rFont val="Tahoma"/>
            <family val="2"/>
            <charset val="238"/>
          </rPr>
          <t>EWELINA:</t>
        </r>
        <r>
          <rPr>
            <sz val="9"/>
            <color indexed="81"/>
            <rFont val="Tahoma"/>
            <family val="2"/>
            <charset val="238"/>
          </rPr>
          <t xml:space="preserve">
Strategia jest innowacyjna sama w sobie</t>
        </r>
      </text>
    </comment>
    <comment ref="K34" authorId="0" shapeId="0">
      <text>
        <r>
          <rPr>
            <b/>
            <sz val="9"/>
            <color indexed="81"/>
            <rFont val="Tahoma"/>
            <family val="2"/>
            <charset val="238"/>
          </rPr>
          <t>EWELINA:</t>
        </r>
        <r>
          <rPr>
            <sz val="9"/>
            <color indexed="81"/>
            <rFont val="Tahoma"/>
            <family val="2"/>
            <charset val="238"/>
          </rPr>
          <t xml:space="preserve">
było 2 -50%</t>
        </r>
      </text>
    </comment>
    <comment ref="L35" authorId="0" shapeId="0">
      <text>
        <r>
          <rPr>
            <b/>
            <sz val="9"/>
            <color indexed="81"/>
            <rFont val="Tahoma"/>
            <family val="2"/>
            <charset val="238"/>
          </rPr>
          <t>EWELINA:</t>
        </r>
        <r>
          <rPr>
            <sz val="9"/>
            <color indexed="81"/>
            <rFont val="Tahoma"/>
            <family val="2"/>
            <charset val="238"/>
          </rPr>
          <t xml:space="preserve">
czyli tak naprawdę do rozliczenia operacji… więc może na jedną operację przyjąć 30 i niech wnioskodawcy zrobią wykaz osób odwiedzających miejsca...</t>
        </r>
      </text>
    </comment>
  </commentList>
</comments>
</file>

<file path=xl/sharedStrings.xml><?xml version="1.0" encoding="utf-8"?>
<sst xmlns="http://schemas.openxmlformats.org/spreadsheetml/2006/main" count="152" uniqueCount="114">
  <si>
    <t>C.1.: Tworzenie stref długowieczności</t>
  </si>
  <si>
    <t>przedsięwzięcie</t>
  </si>
  <si>
    <t>Program</t>
  </si>
  <si>
    <t>Rodzaj wsparcia</t>
  </si>
  <si>
    <t>beneficjent</t>
  </si>
  <si>
    <t>kwota na jedną operację</t>
  </si>
  <si>
    <t>PROW</t>
  </si>
  <si>
    <t>konkurs</t>
  </si>
  <si>
    <t>Mieszkańcy/przedsiębiorcy</t>
  </si>
  <si>
    <t>C.2.: Wzmocnienie rezyliencji</t>
  </si>
  <si>
    <t>granty</t>
  </si>
  <si>
    <t>FEP</t>
  </si>
  <si>
    <t>Konkurs/operacja własna</t>
  </si>
  <si>
    <t>C.3.: Wspieranie generatywności</t>
  </si>
  <si>
    <t>alokacja euro</t>
  </si>
  <si>
    <t>alokacja zł (4,6)</t>
  </si>
  <si>
    <t>wskaźniki produktu</t>
  </si>
  <si>
    <t>wskaźniki rezultatu</t>
  </si>
  <si>
    <t>Pojemność magazynów energii elektrycznej (MWh)</t>
  </si>
  <si>
    <t>Powierzchnia siedlisk wspieranych w celu uzyskania lepszego statusu ochrony (ha)</t>
  </si>
  <si>
    <t>Powierzchnia parków krajobrazowych objętych wsparciem w ramach zadań objętych planami ochrony (ha)</t>
  </si>
  <si>
    <t>Liczba osób objętych usługami świadczonymi w społeczności lokalnej w programie (osoby)</t>
  </si>
  <si>
    <t>Liczba osób z niepełnosprawnościami objętych wsparciem w programie (osoby)</t>
  </si>
  <si>
    <t>Pojemność nowych lub zmodernizowanych lokali socjalnych (osoby)</t>
  </si>
  <si>
    <t>Liczba wspartych obiektów, w których realizowane są usługi społeczne (sztuki)</t>
  </si>
  <si>
    <t>wartość</t>
  </si>
  <si>
    <t>Liczba obiektów kulturalnych i turystycznych objętych wsparciem (sztuki)</t>
  </si>
  <si>
    <t>Liczba operacji nastawiona na innowacje</t>
  </si>
  <si>
    <t xml:space="preserve">Liczba wspartych społeczności energetycznych działających w zakresie energii odnawialnej </t>
  </si>
  <si>
    <t>Razem cel 1 PROW</t>
  </si>
  <si>
    <t>razem cel 2 PROW</t>
  </si>
  <si>
    <t>razem cel 2 FEP</t>
  </si>
  <si>
    <t>razem LSR PROW</t>
  </si>
  <si>
    <t>razem LSR FEP</t>
  </si>
  <si>
    <t>razem cel 3 PROW</t>
  </si>
  <si>
    <t>razem cel 3 FEP</t>
  </si>
  <si>
    <t>razem cel 1</t>
  </si>
  <si>
    <t>razem cel 2</t>
  </si>
  <si>
    <t>razem cel 3</t>
  </si>
  <si>
    <t>razem LSR</t>
  </si>
  <si>
    <t xml:space="preserve">1.1. Ochrona bioróżnorodności </t>
  </si>
  <si>
    <t>Wzrost gospodarczy i zatrudnienie na obszarach wiejskich: nowe miejsca pracy objęte wsparciem w ramach projektów WPR (liczba utworzonych miejsc pracy w przeliczeniu na etaty średnioroczne)</t>
  </si>
  <si>
    <t>Poprawa realizacji celów dzięki wiedzy i innowacjom: liczba osób korzystających z doradztwa, szkoleń, wymiany wiedzy lub bioracych udział w grupach operacyjnych europejskiego partnerstwa innowacyjnego (EPI) wspieranych w ramach WPR, by zwiększyć zrównoważona efektywność gospodarczą, społeczną, środowiskową, klimatyczną w zakresie gospodarowania zasobami</t>
  </si>
  <si>
    <t>liczba obiektów służących edukacji ekologicznej</t>
  </si>
  <si>
    <t>Liczba operacji polegających na aktywizowaniu lokalnych liderów</t>
  </si>
  <si>
    <t>3.5. Aktywizacja lokalnych liderów</t>
  </si>
  <si>
    <t>Inteligentna przemiana gospodarki wiejskiej: Liczba wspieranych strategii inteligentnych wsi (liczba strategii)</t>
  </si>
  <si>
    <t>Razem cel 1 FEP</t>
  </si>
  <si>
    <t>Liczba obszarów objęta strategiami inteligentnych wsi</t>
  </si>
  <si>
    <t>konkurs - projekt w partnerstwie</t>
  </si>
  <si>
    <t>Wdrażnie LSR</t>
  </si>
  <si>
    <t>Max. na operacje własne</t>
  </si>
  <si>
    <t>obecne wykorzystanie</t>
  </si>
  <si>
    <t>Max. kwota dla JST w PROW</t>
  </si>
  <si>
    <t>% wsparcia</t>
  </si>
  <si>
    <t>100 / 75</t>
  </si>
  <si>
    <t xml:space="preserve">mieszkańcy/ przedsięwizęcie </t>
  </si>
  <si>
    <t xml:space="preserve">Konkurs </t>
  </si>
  <si>
    <t>liczba operacji polegająca na stworzeniu usług agroturystycznych</t>
  </si>
  <si>
    <t>Łączenie obszarów wiejskich w Europie: odsetek ludności wiejskiej korzystającej z lepszego dostępu do usług i infrastruktury dzięki wsparciu z WPR (liczba osób)</t>
  </si>
  <si>
    <t>obecne wykorzystanie (dedykowane tylko JST)</t>
  </si>
  <si>
    <t>obecnie wykorzystane z możliwością wsparcia dla JST</t>
  </si>
  <si>
    <t>1.3.: Podejmowanie lub rozwój działalności w zakresie usług prozdrowotnych i aktywnych form spędzania wolnego czasu</t>
  </si>
  <si>
    <t>1.4. Podejmowanie lub rozwój działalności opartych o produkty lokalne</t>
  </si>
  <si>
    <t>grant</t>
  </si>
  <si>
    <t xml:space="preserve">konkurs </t>
  </si>
  <si>
    <t>Liczba operacji polegających na rozwoju lub stworzeniu przedsiębiorstwa</t>
  </si>
  <si>
    <t xml:space="preserve">Liczba obiektów dostosowanych do potrzeb osób z niepełnosprawnościami (sztuki) </t>
  </si>
  <si>
    <t>Liczba osób odwiedzająca obiekty kulturalne i turystyczne objęte wsparciem (osoby odwiedzające/rok)</t>
  </si>
  <si>
    <t>3.4. Kreowanie miejsc przyjaznych młodzieży przy jej współudziale</t>
  </si>
  <si>
    <t>2.2. Tworzenie magazynów energii</t>
  </si>
  <si>
    <t>2.4. Tworzenie strategii Smart Village</t>
  </si>
  <si>
    <t>2.5. Rozwijanie infrastruktury turystycznej w zakresie kąpielisk i carvaningu</t>
  </si>
  <si>
    <t>Liczba operacji nastawiona innowacje</t>
  </si>
  <si>
    <t>rolnicy z małych gopodarstw i ich rodziny</t>
  </si>
  <si>
    <t>Liczba stworzonych lub rozwiniętych obiektów służących edukacji ekologicznej</t>
  </si>
  <si>
    <t>Liczba obieków objętych przedsięwzięciem obsługujące osoby w szczególnej sytuacji</t>
  </si>
  <si>
    <t>Liczba operacji polegających na włączeniu społecznym lub cyfrowym seniorów</t>
  </si>
  <si>
    <t>Liczba operacji polegających na włączeniu społecznym lub cyfrowym młodzieży</t>
  </si>
  <si>
    <t>3.3. Tworzenie i rozwój klubów seniora</t>
  </si>
  <si>
    <t>3.6. Edukacja społeczna osób młodych i wymiana kulturowa</t>
  </si>
  <si>
    <t>projekt partnerski</t>
  </si>
  <si>
    <t>podmioty publiczne</t>
  </si>
  <si>
    <t>3.1. Rozwój infrastruktury wsparcia dla grup w niekorzystnej sytuacji</t>
  </si>
  <si>
    <t>3.2. Rozwój usług społecznych</t>
  </si>
  <si>
    <t>roczna liczba użytkowników nowych lub zmodernizowanych obiektach, w których realizowane będą usługi społeczne (użytkownicy/rok)</t>
  </si>
  <si>
    <t>Liczba operacji polegających na włączeniu społecznym lub cyfrowym  młodzieży</t>
  </si>
  <si>
    <t xml:space="preserve">1.2. Rozwój infrastruktury publicznej i jej funkcji społecznych i ekologicznych </t>
  </si>
  <si>
    <t>Liczba stworzonych lub rozwiniętych obiektów infrastruktury publicznej</t>
  </si>
  <si>
    <t>1.5. Tworzenie i rozwój agroturystyki w zakresie usług kwaterunkowych i wykorzystania lokalnych zasobów</t>
  </si>
  <si>
    <t>organizacje pozarządowe/LGD</t>
  </si>
  <si>
    <t>organizacje pozarządowe</t>
  </si>
  <si>
    <t>organizacje pozarządowe / podmioty publiczne</t>
  </si>
  <si>
    <t>Liczba operacji poprawiających dostęp do usług lub infrastruktury seniorom, osobom młodym lub osobom w niekorzystnej sytuacji</t>
  </si>
  <si>
    <t>Liczba operacji polegających na włączeniu społecznym lub cyfrowym seniorów, osób młodych lub w niekorzystnej sytuacji</t>
  </si>
  <si>
    <t>Liczba operacji poprawiających dostęp do usług lub infrastruktury seniorom lub osobom w niekorzystnej sytuacji</t>
  </si>
  <si>
    <t>Liczba operacji włączająca społecznie lub cyfrowo seniorów, osoby młode lub osoby w niekorzystnej sytuacji</t>
  </si>
  <si>
    <t>Liczba operacji poprawiających dostęp do usług lub infrastruktury osobom młodym lub osobom w niekorzystnej sytuacji</t>
  </si>
  <si>
    <t>150 tyś (rozówj) + 175 tyś. (rozwój)</t>
  </si>
  <si>
    <t>150 tyś x 2 + 500 tyś. x 2</t>
  </si>
  <si>
    <t>150 tyś. x 4 + 500 tyś. x 4</t>
  </si>
  <si>
    <t>150 tyś. x 1, 300 tyś. x 2</t>
  </si>
  <si>
    <t>Liczba zatrudnionych osób (w tym w ramach samozatrudnienia) należących do grup w niekorzystnej sytuacji</t>
  </si>
  <si>
    <t xml:space="preserve">Liczba projektów partnerskich </t>
  </si>
  <si>
    <t>Liczba miejsc świadczenia usług w społeczności lokalnej objetych wsparciem (sztuki)</t>
  </si>
  <si>
    <t>2.1. Park inteligentnych rozwiązań</t>
  </si>
  <si>
    <t>Liczba projektów w partnerstwie</t>
  </si>
  <si>
    <r>
      <t>Wytworzona energia odnawialna ogółem (w tym energia elektryczna, energia cieplna) [MWh/rok] / l</t>
    </r>
    <r>
      <rPr>
        <sz val="9"/>
        <color rgb="FFFFFF00"/>
        <rFont val="Calibri"/>
        <family val="2"/>
        <charset val="238"/>
        <scheme val="minor"/>
      </rPr>
      <t>iczba ludnoci korzystającej z magazynu</t>
    </r>
  </si>
  <si>
    <t xml:space="preserve">Ludność objęta projektami w ramach strategii zintegrowanego rozwoju terytorilnego </t>
  </si>
  <si>
    <t xml:space="preserve">Ludność mająca dostęp do obszaru chronionego objętego wsparciem (osoby) </t>
  </si>
  <si>
    <t xml:space="preserve">0os. </t>
  </si>
  <si>
    <t>1.6. Tworzenie i rozwój przestrzeni edukacyjnych</t>
  </si>
  <si>
    <t>podmioty publiczne/ organziacje pozarządowe</t>
  </si>
  <si>
    <t xml:space="preserve">2.3. Podejmowanie lub rozwój działalności w zakresie  nowych technologii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</si>
</sst>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9"/>
      <color theme="1"/>
      <name val="Calibri"/>
      <family val="2"/>
      <charset val="238"/>
      <scheme val="minor"/>
    </font>
    <font>
      <sz val="9"/>
      <color rgb="FF0070C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rgb="FFFF0066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color rgb="FF00B050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trike/>
      <sz val="9"/>
      <color rgb="FFFF0000"/>
      <name val="Calibri"/>
      <family val="2"/>
      <charset val="238"/>
      <scheme val="minor"/>
    </font>
    <font>
      <strike/>
      <sz val="9"/>
      <color rgb="FFFF0066"/>
      <name val="Calibri"/>
      <family val="2"/>
      <charset val="238"/>
      <scheme val="minor"/>
    </font>
    <font>
      <sz val="9"/>
      <color rgb="FFFFFF00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172">
    <xf numFmtId="0" fontId="0" fillId="0" borderId="0" xfId="0"/>
    <xf numFmtId="4" fontId="0" fillId="0" borderId="0" xfId="0" applyNumberFormat="1"/>
    <xf numFmtId="0" fontId="3" fillId="0" borderId="1" xfId="0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4" fillId="2" borderId="3" xfId="0" applyFont="1" applyFill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/>
    </xf>
    <xf numFmtId="4" fontId="4" fillId="2" borderId="3" xfId="0" applyNumberFormat="1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4" fontId="8" fillId="5" borderId="1" xfId="0" applyNumberFormat="1" applyFont="1" applyFill="1" applyBorder="1" applyAlignment="1">
      <alignment horizontal="center" vertical="center" wrapText="1"/>
    </xf>
    <xf numFmtId="4" fontId="8" fillId="6" borderId="1" xfId="0" applyNumberFormat="1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4" fontId="4" fillId="2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 applyFill="1" applyBorder="1" applyAlignment="1">
      <alignment horizontal="center" vertical="center" wrapText="1"/>
    </xf>
    <xf numFmtId="4" fontId="9" fillId="4" borderId="1" xfId="0" applyNumberFormat="1" applyFont="1" applyFill="1" applyBorder="1" applyAlignment="1">
      <alignment horizontal="center" vertical="center"/>
    </xf>
    <xf numFmtId="4" fontId="9" fillId="6" borderId="1" xfId="0" applyNumberFormat="1" applyFont="1" applyFill="1" applyBorder="1" applyAlignment="1">
      <alignment horizontal="center" vertical="center"/>
    </xf>
    <xf numFmtId="4" fontId="8" fillId="3" borderId="1" xfId="0" applyNumberFormat="1" applyFont="1" applyFill="1" applyBorder="1" applyAlignment="1">
      <alignment horizontal="center" vertical="center" wrapText="1"/>
    </xf>
    <xf numFmtId="4" fontId="8" fillId="4" borderId="6" xfId="0" applyNumberFormat="1" applyFont="1" applyFill="1" applyBorder="1" applyAlignment="1">
      <alignment horizontal="center" vertical="center" wrapText="1"/>
    </xf>
    <xf numFmtId="4" fontId="8" fillId="6" borderId="6" xfId="0" applyNumberFormat="1" applyFont="1" applyFill="1" applyBorder="1" applyAlignment="1">
      <alignment horizontal="center" vertical="center" wrapText="1"/>
    </xf>
    <xf numFmtId="4" fontId="8" fillId="8" borderId="6" xfId="0" applyNumberFormat="1" applyFont="1" applyFill="1" applyBorder="1" applyAlignment="1">
      <alignment horizontal="center" vertical="center" wrapText="1"/>
    </xf>
    <xf numFmtId="4" fontId="8" fillId="7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4" fontId="12" fillId="0" borderId="7" xfId="0" applyNumberFormat="1" applyFont="1" applyBorder="1" applyAlignment="1">
      <alignment horizontal="center" vertical="center" wrapText="1"/>
    </xf>
    <xf numFmtId="1" fontId="12" fillId="0" borderId="11" xfId="1" applyNumberFormat="1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3" fontId="11" fillId="2" borderId="1" xfId="0" applyNumberFormat="1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4" fontId="13" fillId="0" borderId="0" xfId="0" applyNumberFormat="1" applyFont="1"/>
    <xf numFmtId="9" fontId="13" fillId="0" borderId="0" xfId="0" applyNumberFormat="1" applyFont="1"/>
    <xf numFmtId="4" fontId="3" fillId="0" borderId="0" xfId="0" applyNumberFormat="1" applyFont="1"/>
    <xf numFmtId="0" fontId="11" fillId="0" borderId="7" xfId="0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3" fontId="11" fillId="2" borderId="1" xfId="0" applyNumberFormat="1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wrapText="1"/>
    </xf>
    <xf numFmtId="4" fontId="11" fillId="0" borderId="7" xfId="0" applyNumberFormat="1" applyFont="1" applyBorder="1" applyAlignment="1">
      <alignment horizontal="center" vertical="center" wrapText="1"/>
    </xf>
    <xf numFmtId="4" fontId="11" fillId="2" borderId="7" xfId="0" applyNumberFormat="1" applyFont="1" applyFill="1" applyBorder="1" applyAlignment="1">
      <alignment horizontal="center" vertical="center" wrapText="1"/>
    </xf>
    <xf numFmtId="4" fontId="11" fillId="0" borderId="7" xfId="0" applyNumberFormat="1" applyFont="1" applyBorder="1" applyAlignment="1">
      <alignment vertical="center" wrapText="1"/>
    </xf>
    <xf numFmtId="3" fontId="11" fillId="2" borderId="6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3" fontId="11" fillId="9" borderId="1" xfId="0" applyNumberFormat="1" applyFont="1" applyFill="1" applyBorder="1" applyAlignment="1">
      <alignment horizontal="center" vertical="center"/>
    </xf>
    <xf numFmtId="0" fontId="11" fillId="9" borderId="7" xfId="0" applyFont="1" applyFill="1" applyBorder="1" applyAlignment="1">
      <alignment horizontal="center" vertical="center" wrapText="1"/>
    </xf>
    <xf numFmtId="1" fontId="12" fillId="9" borderId="7" xfId="0" applyNumberFormat="1" applyFont="1" applyFill="1" applyBorder="1" applyAlignment="1">
      <alignment horizontal="center" vertical="center" wrapText="1"/>
    </xf>
    <xf numFmtId="1" fontId="11" fillId="9" borderId="7" xfId="0" applyNumberFormat="1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3" fontId="12" fillId="10" borderId="1" xfId="0" applyNumberFormat="1" applyFont="1" applyFill="1" applyBorder="1" applyAlignment="1">
      <alignment horizontal="center" vertical="center" wrapText="1"/>
    </xf>
    <xf numFmtId="0" fontId="12" fillId="10" borderId="7" xfId="0" applyFont="1" applyFill="1" applyBorder="1" applyAlignment="1">
      <alignment horizontal="center" vertical="center" wrapText="1"/>
    </xf>
    <xf numFmtId="3" fontId="14" fillId="5" borderId="1" xfId="0" applyNumberFormat="1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vertical="center" wrapText="1"/>
    </xf>
    <xf numFmtId="0" fontId="12" fillId="9" borderId="6" xfId="0" applyFont="1" applyFill="1" applyBorder="1" applyAlignment="1">
      <alignment vertical="center" wrapText="1"/>
    </xf>
    <xf numFmtId="0" fontId="12" fillId="9" borderId="7" xfId="0" applyFont="1" applyFill="1" applyBorder="1" applyAlignment="1">
      <alignment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5" fillId="2" borderId="7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2" fillId="9" borderId="6" xfId="0" applyFont="1" applyFill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4" fontId="3" fillId="2" borderId="6" xfId="0" applyNumberFormat="1" applyFont="1" applyFill="1" applyBorder="1" applyAlignment="1">
      <alignment horizontal="center" vertical="center" wrapText="1"/>
    </xf>
    <xf numFmtId="4" fontId="3" fillId="2" borderId="5" xfId="0" applyNumberFormat="1" applyFont="1" applyFill="1" applyBorder="1" applyAlignment="1">
      <alignment horizontal="center" vertical="center" wrapText="1"/>
    </xf>
    <xf numFmtId="4" fontId="3" fillId="2" borderId="7" xfId="0" applyNumberFormat="1" applyFont="1" applyFill="1" applyBorder="1" applyAlignment="1">
      <alignment horizontal="center" vertical="center" wrapText="1"/>
    </xf>
    <xf numFmtId="4" fontId="5" fillId="9" borderId="6" xfId="0" applyNumberFormat="1" applyFont="1" applyFill="1" applyBorder="1" applyAlignment="1">
      <alignment horizontal="center" vertical="center" wrapText="1"/>
    </xf>
    <xf numFmtId="4" fontId="5" fillId="9" borderId="5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4" fontId="12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/>
    </xf>
    <xf numFmtId="4" fontId="5" fillId="0" borderId="5" xfId="0" applyNumberFormat="1" applyFont="1" applyBorder="1" applyAlignment="1">
      <alignment horizontal="center" vertical="center"/>
    </xf>
    <xf numFmtId="4" fontId="5" fillId="0" borderId="7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4" fontId="13" fillId="0" borderId="0" xfId="0" applyNumberFormat="1" applyFont="1" applyAlignment="1">
      <alignment horizontal="center"/>
    </xf>
    <xf numFmtId="4" fontId="5" fillId="0" borderId="1" xfId="0" applyNumberFormat="1" applyFont="1" applyBorder="1" applyAlignment="1">
      <alignment horizontal="center" vertical="center"/>
    </xf>
    <xf numFmtId="0" fontId="7" fillId="7" borderId="8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5" fillId="4" borderId="9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8" fillId="8" borderId="2" xfId="0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2" fontId="13" fillId="0" borderId="0" xfId="0" applyNumberFormat="1" applyFont="1" applyAlignment="1">
      <alignment horizontal="center"/>
    </xf>
    <xf numFmtId="4" fontId="5" fillId="9" borderId="7" xfId="0" applyNumberFormat="1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4" fontId="12" fillId="2" borderId="6" xfId="0" applyNumberFormat="1" applyFont="1" applyFill="1" applyBorder="1" applyAlignment="1">
      <alignment horizontal="center" vertical="center" wrapText="1"/>
    </xf>
    <xf numFmtId="4" fontId="12" fillId="2" borderId="5" xfId="0" applyNumberFormat="1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4" fontId="12" fillId="0" borderId="7" xfId="0" applyNumberFormat="1" applyFont="1" applyBorder="1" applyAlignment="1">
      <alignment horizontal="center" vertical="center" wrapText="1"/>
    </xf>
    <xf numFmtId="1" fontId="12" fillId="0" borderId="6" xfId="0" applyNumberFormat="1" applyFont="1" applyFill="1" applyBorder="1" applyAlignment="1">
      <alignment horizontal="center" vertical="center" wrapText="1"/>
    </xf>
    <xf numFmtId="1" fontId="12" fillId="0" borderId="7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4" fontId="12" fillId="2" borderId="7" xfId="0" applyNumberFormat="1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81"/>
  <sheetViews>
    <sheetView tabSelected="1" topLeftCell="A19" workbookViewId="0">
      <selection activeCell="A24" sqref="A24:A26"/>
    </sheetView>
  </sheetViews>
  <sheetFormatPr defaultRowHeight="14.4" x14ac:dyDescent="0.3"/>
  <cols>
    <col min="1" max="1" width="22.77734375" customWidth="1"/>
    <col min="2" max="2" width="8.109375" customWidth="1"/>
    <col min="3" max="3" width="10.88671875" customWidth="1"/>
    <col min="4" max="4" width="12.77734375" customWidth="1"/>
    <col min="5" max="5" width="11.6640625" customWidth="1"/>
    <col min="6" max="6" width="9.77734375" customWidth="1"/>
    <col min="7" max="7" width="9.6640625" customWidth="1"/>
    <col min="8" max="9" width="9.5546875" customWidth="1"/>
    <col min="10" max="10" width="44.6640625" customWidth="1"/>
    <col min="11" max="11" width="8.88671875" customWidth="1"/>
    <col min="12" max="12" width="41.21875" customWidth="1"/>
    <col min="14" max="14" width="17.77734375" customWidth="1"/>
  </cols>
  <sheetData>
    <row r="1" spans="1:13" ht="44.4" customHeight="1" x14ac:dyDescent="0.3">
      <c r="A1" s="2" t="s">
        <v>1</v>
      </c>
      <c r="B1" s="2" t="s">
        <v>2</v>
      </c>
      <c r="C1" s="2" t="s">
        <v>3</v>
      </c>
      <c r="D1" s="2" t="s">
        <v>4</v>
      </c>
      <c r="E1" s="2" t="s">
        <v>14</v>
      </c>
      <c r="F1" s="2" t="s">
        <v>15</v>
      </c>
      <c r="G1" s="2" t="s">
        <v>5</v>
      </c>
      <c r="H1" s="2" t="s">
        <v>5</v>
      </c>
      <c r="I1" s="2" t="s">
        <v>54</v>
      </c>
      <c r="J1" s="6" t="s">
        <v>16</v>
      </c>
      <c r="K1" s="6" t="s">
        <v>25</v>
      </c>
      <c r="L1" s="5" t="s">
        <v>17</v>
      </c>
      <c r="M1" s="6" t="s">
        <v>25</v>
      </c>
    </row>
    <row r="2" spans="1:13" x14ac:dyDescent="0.3">
      <c r="A2" s="112" t="s">
        <v>0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4"/>
    </row>
    <row r="3" spans="1:13" ht="23.4" customHeight="1" x14ac:dyDescent="0.3">
      <c r="A3" s="85" t="s">
        <v>40</v>
      </c>
      <c r="B3" s="85" t="s">
        <v>11</v>
      </c>
      <c r="C3" s="85" t="s">
        <v>7</v>
      </c>
      <c r="D3" s="85" t="s">
        <v>82</v>
      </c>
      <c r="E3" s="106">
        <v>294170.14</v>
      </c>
      <c r="F3" s="106">
        <f>E3*4.6</f>
        <v>1353182.6439999999</v>
      </c>
      <c r="G3" s="106">
        <f>E3/6</f>
        <v>49028.356666666667</v>
      </c>
      <c r="H3" s="106">
        <f>F3/6</f>
        <v>225530.44066666663</v>
      </c>
      <c r="I3" s="106">
        <v>85</v>
      </c>
      <c r="J3" s="67" t="s">
        <v>19</v>
      </c>
      <c r="K3" s="68">
        <v>3</v>
      </c>
      <c r="L3" s="73" t="s">
        <v>109</v>
      </c>
      <c r="M3" s="74">
        <v>9000</v>
      </c>
    </row>
    <row r="4" spans="1:13" ht="24" x14ac:dyDescent="0.3">
      <c r="A4" s="87"/>
      <c r="B4" s="87"/>
      <c r="C4" s="87"/>
      <c r="D4" s="87"/>
      <c r="E4" s="108"/>
      <c r="F4" s="108"/>
      <c r="G4" s="108"/>
      <c r="H4" s="108"/>
      <c r="I4" s="108"/>
      <c r="J4" s="36" t="s">
        <v>20</v>
      </c>
      <c r="K4" s="59">
        <v>3000</v>
      </c>
      <c r="L4" s="75" t="s">
        <v>108</v>
      </c>
      <c r="M4" s="75" t="s">
        <v>110</v>
      </c>
    </row>
    <row r="5" spans="1:13" ht="32.4" customHeight="1" x14ac:dyDescent="0.3">
      <c r="A5" s="82" t="s">
        <v>87</v>
      </c>
      <c r="B5" s="82" t="s">
        <v>6</v>
      </c>
      <c r="C5" s="82" t="s">
        <v>7</v>
      </c>
      <c r="D5" s="82" t="str">
        <f>D3</f>
        <v>podmioty publiczne</v>
      </c>
      <c r="E5" s="109">
        <f>552000-11000+10869.21</f>
        <v>551869.21</v>
      </c>
      <c r="F5" s="79">
        <f>E5*4.6</f>
        <v>2538598.3659999995</v>
      </c>
      <c r="G5" s="79">
        <f>E5/7</f>
        <v>78838.458571428564</v>
      </c>
      <c r="H5" s="79">
        <f>F5/7</f>
        <v>362656.90942857135</v>
      </c>
      <c r="I5" s="79">
        <v>75</v>
      </c>
      <c r="J5" s="33" t="s">
        <v>88</v>
      </c>
      <c r="K5" s="33">
        <v>7</v>
      </c>
      <c r="L5" s="76" t="s">
        <v>59</v>
      </c>
      <c r="M5" s="163">
        <f>7*100</f>
        <v>700</v>
      </c>
    </row>
    <row r="6" spans="1:13" ht="43.2" customHeight="1" x14ac:dyDescent="0.3">
      <c r="A6" s="83"/>
      <c r="B6" s="83"/>
      <c r="C6" s="83"/>
      <c r="D6" s="83"/>
      <c r="E6" s="110"/>
      <c r="F6" s="80"/>
      <c r="G6" s="80"/>
      <c r="H6" s="80"/>
      <c r="I6" s="80"/>
      <c r="J6" s="33" t="s">
        <v>93</v>
      </c>
      <c r="K6" s="33">
        <v>4</v>
      </c>
      <c r="L6" s="77"/>
      <c r="M6" s="164"/>
    </row>
    <row r="7" spans="1:13" ht="32.4" customHeight="1" x14ac:dyDescent="0.3">
      <c r="A7" s="83"/>
      <c r="B7" s="83"/>
      <c r="C7" s="83"/>
      <c r="D7" s="83"/>
      <c r="E7" s="110"/>
      <c r="F7" s="80"/>
      <c r="G7" s="80"/>
      <c r="H7" s="80"/>
      <c r="I7" s="80"/>
      <c r="J7" s="33" t="s">
        <v>94</v>
      </c>
      <c r="K7" s="33">
        <v>4</v>
      </c>
      <c r="L7" s="77"/>
      <c r="M7" s="164"/>
    </row>
    <row r="8" spans="1:13" x14ac:dyDescent="0.3">
      <c r="A8" s="83"/>
      <c r="B8" s="83"/>
      <c r="C8" s="83"/>
      <c r="D8" s="83"/>
      <c r="E8" s="110"/>
      <c r="F8" s="80"/>
      <c r="G8" s="80"/>
      <c r="H8" s="80"/>
      <c r="I8" s="80"/>
      <c r="J8" s="33" t="s">
        <v>73</v>
      </c>
      <c r="K8" s="33">
        <v>3</v>
      </c>
      <c r="L8" s="78"/>
      <c r="M8" s="165"/>
    </row>
    <row r="9" spans="1:13" ht="34.799999999999997" customHeight="1" x14ac:dyDescent="0.3">
      <c r="A9" s="96" t="s">
        <v>62</v>
      </c>
      <c r="B9" s="96" t="s">
        <v>6</v>
      </c>
      <c r="C9" s="96" t="s">
        <v>7</v>
      </c>
      <c r="D9" s="82" t="s">
        <v>8</v>
      </c>
      <c r="E9" s="79">
        <v>553478</v>
      </c>
      <c r="F9" s="79">
        <f>E9*4.6</f>
        <v>2545998.7999999998</v>
      </c>
      <c r="G9" s="79">
        <f>500000/4.6</f>
        <v>108695.65217391305</v>
      </c>
      <c r="H9" s="79" t="s">
        <v>100</v>
      </c>
      <c r="I9" s="79">
        <v>65</v>
      </c>
      <c r="J9" s="40" t="s">
        <v>66</v>
      </c>
      <c r="K9" s="61">
        <v>8</v>
      </c>
      <c r="L9" s="120" t="s">
        <v>41</v>
      </c>
      <c r="M9" s="156">
        <v>8</v>
      </c>
    </row>
    <row r="10" spans="1:13" ht="36" customHeight="1" x14ac:dyDescent="0.3">
      <c r="A10" s="102"/>
      <c r="B10" s="102"/>
      <c r="C10" s="102"/>
      <c r="D10" s="83"/>
      <c r="E10" s="80"/>
      <c r="F10" s="80"/>
      <c r="G10" s="80"/>
      <c r="H10" s="80"/>
      <c r="I10" s="80"/>
      <c r="J10" s="40" t="s">
        <v>95</v>
      </c>
      <c r="K10" s="61">
        <v>6</v>
      </c>
      <c r="L10" s="121"/>
      <c r="M10" s="156"/>
    </row>
    <row r="11" spans="1:13" ht="40.200000000000003" customHeight="1" x14ac:dyDescent="0.3">
      <c r="A11" s="102"/>
      <c r="B11" s="102"/>
      <c r="C11" s="102"/>
      <c r="D11" s="83"/>
      <c r="E11" s="80"/>
      <c r="F11" s="80"/>
      <c r="G11" s="80"/>
      <c r="H11" s="80"/>
      <c r="I11" s="80"/>
      <c r="J11" s="34" t="s">
        <v>27</v>
      </c>
      <c r="K11" s="61">
        <v>4</v>
      </c>
      <c r="L11" s="58" t="s">
        <v>102</v>
      </c>
      <c r="M11" s="60">
        <v>4</v>
      </c>
    </row>
    <row r="12" spans="1:13" ht="31.8" customHeight="1" x14ac:dyDescent="0.3">
      <c r="A12" s="96" t="s">
        <v>63</v>
      </c>
      <c r="B12" s="96" t="s">
        <v>6</v>
      </c>
      <c r="C12" s="96" t="s">
        <v>7</v>
      </c>
      <c r="D12" s="96" t="s">
        <v>8</v>
      </c>
      <c r="E12" s="99">
        <v>292174</v>
      </c>
      <c r="F12" s="99">
        <f>E12*4.6</f>
        <v>1344000.4</v>
      </c>
      <c r="G12" s="99"/>
      <c r="H12" s="79" t="s">
        <v>99</v>
      </c>
      <c r="I12" s="99">
        <v>65</v>
      </c>
      <c r="J12" s="34" t="str">
        <f>J9</f>
        <v>Liczba operacji polegających na rozwoju lub stworzeniu przedsiębiorstwa</v>
      </c>
      <c r="K12" s="61">
        <v>4</v>
      </c>
      <c r="L12" s="157" t="str">
        <f>L9</f>
        <v>Wzrost gospodarczy i zatrudnienie na obszarach wiejskich: nowe miejsca pracy objęte wsparciem w ramach projektów WPR (liczba utworzonych miejsc pracy w przeliczeniu na etaty średnioroczne)</v>
      </c>
      <c r="M12" s="158">
        <v>4</v>
      </c>
    </row>
    <row r="13" spans="1:13" ht="38.4" customHeight="1" x14ac:dyDescent="0.3">
      <c r="A13" s="102"/>
      <c r="B13" s="102"/>
      <c r="C13" s="102"/>
      <c r="D13" s="102"/>
      <c r="E13" s="100"/>
      <c r="F13" s="100"/>
      <c r="G13" s="100"/>
      <c r="H13" s="80"/>
      <c r="I13" s="100"/>
      <c r="J13" s="34" t="str">
        <f>J10</f>
        <v>Liczba operacji poprawiających dostęp do usług lub infrastruktury seniorom lub osobom w niekorzystnej sytuacji</v>
      </c>
      <c r="K13" s="61">
        <v>2</v>
      </c>
      <c r="L13" s="157"/>
      <c r="M13" s="159"/>
    </row>
    <row r="14" spans="1:13" ht="36" customHeight="1" x14ac:dyDescent="0.3">
      <c r="A14" s="102"/>
      <c r="B14" s="102"/>
      <c r="C14" s="102"/>
      <c r="D14" s="102"/>
      <c r="E14" s="100"/>
      <c r="F14" s="100"/>
      <c r="G14" s="100"/>
      <c r="H14" s="80"/>
      <c r="I14" s="100"/>
      <c r="J14" s="34" t="str">
        <f>J11</f>
        <v>Liczba operacji nastawiona na innowacje</v>
      </c>
      <c r="K14" s="61">
        <v>2</v>
      </c>
      <c r="L14" s="56" t="str">
        <f>L11</f>
        <v>Liczba zatrudnionych osób (w tym w ramach samozatrudnienia) należących do grup w niekorzystnej sytuacji</v>
      </c>
      <c r="M14" s="49">
        <v>2</v>
      </c>
    </row>
    <row r="15" spans="1:13" ht="52.2" customHeight="1" x14ac:dyDescent="0.3">
      <c r="A15" s="96" t="s">
        <v>89</v>
      </c>
      <c r="B15" s="96" t="s">
        <v>6</v>
      </c>
      <c r="C15" s="96" t="s">
        <v>7</v>
      </c>
      <c r="D15" s="96" t="s">
        <v>74</v>
      </c>
      <c r="E15" s="99">
        <v>163044</v>
      </c>
      <c r="F15" s="109">
        <f>E15*4.6</f>
        <v>750002.39999999991</v>
      </c>
      <c r="G15" s="99">
        <f>300000/4.6</f>
        <v>65217.391304347831</v>
      </c>
      <c r="H15" s="109" t="s">
        <v>101</v>
      </c>
      <c r="I15" s="123">
        <v>85</v>
      </c>
      <c r="J15" s="34" t="s">
        <v>58</v>
      </c>
      <c r="K15" s="61">
        <v>3</v>
      </c>
      <c r="L15" s="37" t="str">
        <f>L12</f>
        <v>Wzrost gospodarczy i zatrudnienie na obszarach wiejskich: nowe miejsca pracy objęte wsparciem w ramach projektów WPR (liczba utworzonych miejsc pracy w przeliczeniu na etaty średnioroczne)</v>
      </c>
      <c r="M15" s="63">
        <v>3</v>
      </c>
    </row>
    <row r="16" spans="1:13" ht="36.6" customHeight="1" x14ac:dyDescent="0.3">
      <c r="A16" s="97"/>
      <c r="B16" s="97"/>
      <c r="C16" s="97"/>
      <c r="D16" s="97"/>
      <c r="E16" s="101"/>
      <c r="F16" s="141"/>
      <c r="G16" s="101"/>
      <c r="H16" s="141"/>
      <c r="I16" s="125"/>
      <c r="J16" s="34" t="str">
        <f>J13</f>
        <v>Liczba operacji poprawiających dostęp do usług lub infrastruktury seniorom lub osobom w niekorzystnej sytuacji</v>
      </c>
      <c r="K16" s="61">
        <v>3</v>
      </c>
      <c r="L16" s="54" t="str">
        <f>L14</f>
        <v>Liczba zatrudnionych osób (w tym w ramach samozatrudnienia) należących do grup w niekorzystnej sytuacji</v>
      </c>
      <c r="M16" s="64">
        <v>1</v>
      </c>
    </row>
    <row r="17" spans="1:13" ht="36.6" customHeight="1" x14ac:dyDescent="0.3">
      <c r="A17" s="96" t="s">
        <v>111</v>
      </c>
      <c r="B17" s="96" t="s">
        <v>6</v>
      </c>
      <c r="C17" s="96" t="s">
        <v>7</v>
      </c>
      <c r="D17" s="96" t="s">
        <v>91</v>
      </c>
      <c r="E17" s="99">
        <v>86000</v>
      </c>
      <c r="F17" s="99">
        <f>E17*4.6</f>
        <v>395599.99999999994</v>
      </c>
      <c r="G17" s="99">
        <f>E17/6</f>
        <v>14333.333333333334</v>
      </c>
      <c r="H17" s="123">
        <f>F17/6</f>
        <v>65933.333333333328</v>
      </c>
      <c r="I17" s="123">
        <v>100</v>
      </c>
      <c r="J17" s="34" t="s">
        <v>75</v>
      </c>
      <c r="K17" s="35">
        <v>6</v>
      </c>
      <c r="L17" s="120" t="str">
        <f>L5</f>
        <v>Łączenie obszarów wiejskich w Europie: odsetek ludności wiejskiej korzystającej z lepszego dostępu do usług i infrastruktury dzięki wsparciu z WPR (liczba osób)</v>
      </c>
      <c r="M17" s="161">
        <f>6*20</f>
        <v>120</v>
      </c>
    </row>
    <row r="18" spans="1:13" ht="36.6" customHeight="1" x14ac:dyDescent="0.3">
      <c r="A18" s="102"/>
      <c r="B18" s="102"/>
      <c r="C18" s="102"/>
      <c r="D18" s="102"/>
      <c r="E18" s="100"/>
      <c r="F18" s="100"/>
      <c r="G18" s="100"/>
      <c r="H18" s="124"/>
      <c r="I18" s="124"/>
      <c r="J18" s="34" t="str">
        <f>J13</f>
        <v>Liczba operacji poprawiających dostęp do usług lub infrastruktury seniorom lub osobom w niekorzystnej sytuacji</v>
      </c>
      <c r="K18" s="35">
        <v>4</v>
      </c>
      <c r="L18" s="160"/>
      <c r="M18" s="162"/>
    </row>
    <row r="19" spans="1:13" ht="82.8" customHeight="1" x14ac:dyDescent="0.3">
      <c r="A19" s="97"/>
      <c r="B19" s="97"/>
      <c r="C19" s="97"/>
      <c r="D19" s="97"/>
      <c r="E19" s="101"/>
      <c r="F19" s="101"/>
      <c r="G19" s="101"/>
      <c r="H19" s="125"/>
      <c r="I19" s="125"/>
      <c r="J19" s="40" t="str">
        <f>J14</f>
        <v>Liczba operacji nastawiona na innowacje</v>
      </c>
      <c r="K19" s="52">
        <v>3</v>
      </c>
      <c r="L19" s="41" t="s">
        <v>42</v>
      </c>
      <c r="M19" s="38">
        <f>6*20</f>
        <v>120</v>
      </c>
    </row>
    <row r="20" spans="1:13" ht="15.6" customHeight="1" x14ac:dyDescent="0.3">
      <c r="A20" s="95" t="s">
        <v>29</v>
      </c>
      <c r="B20" s="95"/>
      <c r="C20" s="95"/>
      <c r="D20" s="95"/>
      <c r="E20" s="20">
        <f>SUM(E5:E17)</f>
        <v>1646565.21</v>
      </c>
      <c r="F20" s="20">
        <f>SUM(F5:F17)</f>
        <v>7574199.966</v>
      </c>
      <c r="G20" s="10"/>
      <c r="H20" s="11"/>
      <c r="I20" s="11"/>
      <c r="J20" s="8"/>
      <c r="K20" s="12"/>
      <c r="L20" s="13"/>
      <c r="M20" s="14"/>
    </row>
    <row r="21" spans="1:13" ht="15.6" customHeight="1" x14ac:dyDescent="0.3">
      <c r="A21" s="142" t="s">
        <v>47</v>
      </c>
      <c r="B21" s="143"/>
      <c r="C21" s="143"/>
      <c r="D21" s="144"/>
      <c r="E21" s="19">
        <f>SUM(E3)</f>
        <v>294170.14</v>
      </c>
      <c r="F21" s="19">
        <f>SUM(F3)</f>
        <v>1353182.6439999999</v>
      </c>
      <c r="G21" s="10"/>
      <c r="H21" s="11"/>
      <c r="I21" s="11"/>
      <c r="J21" s="8"/>
      <c r="K21" s="12"/>
      <c r="L21" s="13"/>
      <c r="M21" s="14"/>
    </row>
    <row r="22" spans="1:13" ht="15.6" customHeight="1" x14ac:dyDescent="0.3">
      <c r="A22" s="118" t="s">
        <v>36</v>
      </c>
      <c r="B22" s="119"/>
      <c r="C22" s="119"/>
      <c r="D22" s="119"/>
      <c r="E22" s="27">
        <f>SUM(E20:E21)</f>
        <v>1940735.35</v>
      </c>
      <c r="F22" s="27">
        <f>SUM(F20:F21)</f>
        <v>8927382.6099999994</v>
      </c>
      <c r="G22" s="10"/>
      <c r="H22" s="11"/>
      <c r="I22" s="11"/>
      <c r="J22" s="8"/>
      <c r="K22" s="12"/>
      <c r="L22" s="13"/>
      <c r="M22" s="14"/>
    </row>
    <row r="23" spans="1:13" x14ac:dyDescent="0.3">
      <c r="A23" s="115" t="s">
        <v>9</v>
      </c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7"/>
    </row>
    <row r="24" spans="1:13" ht="84" customHeight="1" x14ac:dyDescent="0.3">
      <c r="A24" s="145" t="s">
        <v>105</v>
      </c>
      <c r="B24" s="82" t="s">
        <v>6</v>
      </c>
      <c r="C24" s="82" t="s">
        <v>12</v>
      </c>
      <c r="D24" s="82" t="s">
        <v>90</v>
      </c>
      <c r="E24" s="79">
        <v>50000</v>
      </c>
      <c r="F24" s="79">
        <f>E24*4.65</f>
        <v>232500.00000000003</v>
      </c>
      <c r="G24" s="79">
        <v>45000</v>
      </c>
      <c r="H24" s="79">
        <f>F24</f>
        <v>232500.00000000003</v>
      </c>
      <c r="I24" s="79">
        <v>100</v>
      </c>
      <c r="J24" s="39" t="s">
        <v>43</v>
      </c>
      <c r="K24" s="33">
        <v>1</v>
      </c>
      <c r="L24" s="36" t="s">
        <v>42</v>
      </c>
      <c r="M24" s="36">
        <v>40</v>
      </c>
    </row>
    <row r="25" spans="1:13" ht="37.799999999999997" customHeight="1" x14ac:dyDescent="0.3">
      <c r="A25" s="146"/>
      <c r="B25" s="83"/>
      <c r="C25" s="83"/>
      <c r="D25" s="83"/>
      <c r="E25" s="80"/>
      <c r="F25" s="80"/>
      <c r="G25" s="80"/>
      <c r="H25" s="80"/>
      <c r="I25" s="80"/>
      <c r="J25" s="57" t="str">
        <f>J10</f>
        <v>Liczba operacji poprawiających dostęp do usług lub infrastruktury seniorom lub osobom w niekorzystnej sytuacji</v>
      </c>
      <c r="K25" s="33">
        <v>1</v>
      </c>
      <c r="L25" s="152" t="s">
        <v>59</v>
      </c>
      <c r="M25" s="76">
        <v>40</v>
      </c>
    </row>
    <row r="26" spans="1:13" ht="24" customHeight="1" x14ac:dyDescent="0.3">
      <c r="A26" s="147"/>
      <c r="B26" s="89"/>
      <c r="C26" s="89"/>
      <c r="D26" s="89"/>
      <c r="E26" s="81"/>
      <c r="F26" s="81"/>
      <c r="G26" s="81"/>
      <c r="H26" s="81"/>
      <c r="I26" s="81"/>
      <c r="J26" s="40" t="str">
        <f>J14</f>
        <v>Liczba operacji nastawiona na innowacje</v>
      </c>
      <c r="K26" s="33">
        <v>1</v>
      </c>
      <c r="L26" s="168"/>
      <c r="M26" s="78"/>
    </row>
    <row r="27" spans="1:13" ht="23.4" customHeight="1" x14ac:dyDescent="0.3">
      <c r="A27" s="82" t="s">
        <v>70</v>
      </c>
      <c r="B27" s="82" t="s">
        <v>11</v>
      </c>
      <c r="C27" s="82" t="s">
        <v>10</v>
      </c>
      <c r="D27" s="82" t="s">
        <v>112</v>
      </c>
      <c r="E27" s="79">
        <v>618988.26</v>
      </c>
      <c r="F27" s="79">
        <f>E27*4.65</f>
        <v>2878295.4090000005</v>
      </c>
      <c r="G27" s="79">
        <f>E27/7</f>
        <v>88426.894285714283</v>
      </c>
      <c r="H27" s="79">
        <f>F27/7</f>
        <v>411185.0584285715</v>
      </c>
      <c r="I27" s="79">
        <v>85</v>
      </c>
      <c r="J27" s="69" t="s">
        <v>18</v>
      </c>
      <c r="K27" s="70">
        <v>7.0000000000000007E-2</v>
      </c>
      <c r="L27" s="152" t="s">
        <v>107</v>
      </c>
      <c r="M27" s="76">
        <v>9</v>
      </c>
    </row>
    <row r="28" spans="1:13" ht="23.4" customHeight="1" x14ac:dyDescent="0.3">
      <c r="A28" s="83"/>
      <c r="B28" s="83"/>
      <c r="C28" s="83"/>
      <c r="D28" s="83"/>
      <c r="E28" s="80"/>
      <c r="F28" s="80"/>
      <c r="G28" s="80"/>
      <c r="H28" s="80"/>
      <c r="I28" s="80"/>
      <c r="J28" s="40" t="s">
        <v>76</v>
      </c>
      <c r="K28" s="53">
        <v>7</v>
      </c>
      <c r="L28" s="153"/>
      <c r="M28" s="77"/>
    </row>
    <row r="29" spans="1:13" ht="28.8" customHeight="1" x14ac:dyDescent="0.3">
      <c r="A29" s="83"/>
      <c r="B29" s="83"/>
      <c r="C29" s="83"/>
      <c r="D29" s="83"/>
      <c r="E29" s="80"/>
      <c r="F29" s="80"/>
      <c r="G29" s="80"/>
      <c r="H29" s="80"/>
      <c r="I29" s="80"/>
      <c r="J29" s="71" t="s">
        <v>28</v>
      </c>
      <c r="K29" s="72">
        <v>7</v>
      </c>
      <c r="L29" s="153"/>
      <c r="M29" s="77"/>
    </row>
    <row r="30" spans="1:13" ht="50.4" customHeight="1" x14ac:dyDescent="0.3">
      <c r="A30" s="82" t="s">
        <v>113</v>
      </c>
      <c r="B30" s="82" t="s">
        <v>6</v>
      </c>
      <c r="C30" s="82" t="s">
        <v>57</v>
      </c>
      <c r="D30" s="82" t="s">
        <v>56</v>
      </c>
      <c r="E30" s="79">
        <v>70000</v>
      </c>
      <c r="F30" s="79">
        <f>E30*4.65</f>
        <v>325500</v>
      </c>
      <c r="G30" s="79">
        <f>E30/3</f>
        <v>23333.333333333332</v>
      </c>
      <c r="H30" s="79" t="s">
        <v>98</v>
      </c>
      <c r="I30" s="79">
        <v>65</v>
      </c>
      <c r="J30" s="40" t="str">
        <f>J9</f>
        <v>Liczba operacji polegających na rozwoju lub stworzeniu przedsiębiorstwa</v>
      </c>
      <c r="K30" s="62">
        <v>2</v>
      </c>
      <c r="L30" s="41" t="str">
        <f>L9</f>
        <v>Wzrost gospodarczy i zatrudnienie na obszarach wiejskich: nowe miejsca pracy objęte wsparciem w ramach projektów WPR (liczba utworzonych miejsc pracy w przeliczeniu na etaty średnioroczne)</v>
      </c>
      <c r="M30" s="36">
        <v>2</v>
      </c>
    </row>
    <row r="31" spans="1:13" ht="36" customHeight="1" x14ac:dyDescent="0.3">
      <c r="A31" s="83"/>
      <c r="B31" s="83"/>
      <c r="C31" s="83"/>
      <c r="D31" s="83"/>
      <c r="E31" s="80"/>
      <c r="F31" s="80"/>
      <c r="G31" s="80"/>
      <c r="H31" s="80"/>
      <c r="I31" s="81"/>
      <c r="J31" s="40" t="str">
        <f>J11</f>
        <v>Liczba operacji nastawiona na innowacje</v>
      </c>
      <c r="K31" s="62">
        <v>2</v>
      </c>
      <c r="L31" s="55" t="str">
        <f>L14</f>
        <v>Liczba zatrudnionych osób (w tym w ramach samozatrudnienia) należących do grup w niekorzystnej sytuacji</v>
      </c>
      <c r="M31" s="53">
        <v>1</v>
      </c>
    </row>
    <row r="32" spans="1:13" ht="27" customHeight="1" x14ac:dyDescent="0.3">
      <c r="A32" s="82" t="s">
        <v>71</v>
      </c>
      <c r="B32" s="82" t="s">
        <v>6</v>
      </c>
      <c r="C32" s="82" t="s">
        <v>10</v>
      </c>
      <c r="D32" s="82" t="s">
        <v>91</v>
      </c>
      <c r="E32" s="79">
        <f>4000*6/4.65</f>
        <v>5161.2903225806449</v>
      </c>
      <c r="F32" s="79">
        <f>E32*4.65</f>
        <v>24000</v>
      </c>
      <c r="G32" s="79">
        <f>E32/6</f>
        <v>860.21505376344078</v>
      </c>
      <c r="H32" s="123">
        <f>F32/6</f>
        <v>4000</v>
      </c>
      <c r="I32" s="123">
        <v>100</v>
      </c>
      <c r="J32" s="42" t="s">
        <v>48</v>
      </c>
      <c r="K32" s="66">
        <v>6</v>
      </c>
      <c r="L32" s="92" t="s">
        <v>46</v>
      </c>
      <c r="M32" s="90">
        <v>6</v>
      </c>
    </row>
    <row r="33" spans="1:13" ht="27" customHeight="1" x14ac:dyDescent="0.3">
      <c r="A33" s="83"/>
      <c r="B33" s="83"/>
      <c r="C33" s="83"/>
      <c r="D33" s="83"/>
      <c r="E33" s="80"/>
      <c r="F33" s="80"/>
      <c r="G33" s="80"/>
      <c r="H33" s="124"/>
      <c r="I33" s="124"/>
      <c r="J33" s="42" t="s">
        <v>27</v>
      </c>
      <c r="K33" s="66">
        <v>6</v>
      </c>
      <c r="L33" s="93"/>
      <c r="M33" s="91"/>
    </row>
    <row r="34" spans="1:13" ht="27" customHeight="1" x14ac:dyDescent="0.3">
      <c r="A34" s="89"/>
      <c r="B34" s="89"/>
      <c r="C34" s="89"/>
      <c r="D34" s="89"/>
      <c r="E34" s="81"/>
      <c r="F34" s="81"/>
      <c r="G34" s="81"/>
      <c r="H34" s="125"/>
      <c r="I34" s="125"/>
      <c r="J34" s="42" t="s">
        <v>96</v>
      </c>
      <c r="K34" s="66">
        <v>3</v>
      </c>
      <c r="L34" s="94"/>
      <c r="M34" s="154"/>
    </row>
    <row r="35" spans="1:13" ht="27" customHeight="1" x14ac:dyDescent="0.3">
      <c r="A35" s="88" t="s">
        <v>72</v>
      </c>
      <c r="B35" s="88" t="s">
        <v>11</v>
      </c>
      <c r="C35" s="88" t="s">
        <v>7</v>
      </c>
      <c r="D35" s="88" t="str">
        <f>D3</f>
        <v>podmioty publiczne</v>
      </c>
      <c r="E35" s="111">
        <v>618988.26</v>
      </c>
      <c r="F35" s="111">
        <f>E35*4.65</f>
        <v>2878295.4090000005</v>
      </c>
      <c r="G35" s="111">
        <f>H35/4.6</f>
        <v>104286.0655434783</v>
      </c>
      <c r="H35" s="155">
        <f>F35/6</f>
        <v>479715.90150000009</v>
      </c>
      <c r="I35" s="148">
        <v>85</v>
      </c>
      <c r="J35" s="44" t="s">
        <v>26</v>
      </c>
      <c r="K35" s="44">
        <v>6</v>
      </c>
      <c r="L35" s="92" t="s">
        <v>68</v>
      </c>
      <c r="M35" s="166">
        <f>6*150</f>
        <v>900</v>
      </c>
    </row>
    <row r="36" spans="1:13" ht="27" customHeight="1" x14ac:dyDescent="0.3">
      <c r="A36" s="88"/>
      <c r="B36" s="88"/>
      <c r="C36" s="88"/>
      <c r="D36" s="88"/>
      <c r="E36" s="111"/>
      <c r="F36" s="111"/>
      <c r="G36" s="111"/>
      <c r="H36" s="155"/>
      <c r="I36" s="149"/>
      <c r="J36" s="34" t="str">
        <f>J31</f>
        <v>Liczba operacji nastawiona na innowacje</v>
      </c>
      <c r="K36" s="42">
        <v>3</v>
      </c>
      <c r="L36" s="93"/>
      <c r="M36" s="167"/>
    </row>
    <row r="37" spans="1:13" ht="27" customHeight="1" x14ac:dyDescent="0.3">
      <c r="A37" s="88"/>
      <c r="B37" s="88"/>
      <c r="C37" s="88"/>
      <c r="D37" s="88"/>
      <c r="E37" s="111"/>
      <c r="F37" s="111"/>
      <c r="G37" s="111"/>
      <c r="H37" s="155"/>
      <c r="I37" s="149"/>
      <c r="J37" s="44" t="s">
        <v>67</v>
      </c>
      <c r="K37" s="44">
        <v>4</v>
      </c>
      <c r="L37" s="93"/>
      <c r="M37" s="167"/>
    </row>
    <row r="38" spans="1:13" ht="15.6" customHeight="1" x14ac:dyDescent="0.3">
      <c r="A38" s="95" t="s">
        <v>30</v>
      </c>
      <c r="B38" s="95"/>
      <c r="C38" s="95"/>
      <c r="D38" s="95"/>
      <c r="E38" s="20">
        <f>SUM(E24,E30:E32)</f>
        <v>125161.29032258065</v>
      </c>
      <c r="F38" s="20">
        <f>SUM(F24,F30:F32)</f>
        <v>582000</v>
      </c>
      <c r="G38" s="10"/>
      <c r="H38" s="9"/>
      <c r="I38" s="9"/>
      <c r="J38" s="15"/>
      <c r="K38" s="16"/>
      <c r="L38" s="15"/>
      <c r="M38" s="17"/>
    </row>
    <row r="39" spans="1:13" ht="16.2" customHeight="1" x14ac:dyDescent="0.3">
      <c r="A39" s="170" t="s">
        <v>31</v>
      </c>
      <c r="B39" s="170"/>
      <c r="C39" s="170"/>
      <c r="D39" s="170"/>
      <c r="E39" s="19">
        <f>SUM(E27,E35)</f>
        <v>1237976.52</v>
      </c>
      <c r="F39" s="19">
        <f>SUM(F27,F35)</f>
        <v>5756590.8180000009</v>
      </c>
      <c r="G39" s="10"/>
      <c r="H39" s="9"/>
      <c r="I39" s="9"/>
      <c r="J39" s="15"/>
      <c r="K39" s="16"/>
      <c r="L39" s="15"/>
      <c r="M39" s="17"/>
    </row>
    <row r="40" spans="1:13" ht="16.2" customHeight="1" x14ac:dyDescent="0.3">
      <c r="A40" s="84" t="s">
        <v>37</v>
      </c>
      <c r="B40" s="84"/>
      <c r="C40" s="84"/>
      <c r="D40" s="84"/>
      <c r="E40" s="18">
        <f>SUM(E38:E39)</f>
        <v>1363137.8103225806</v>
      </c>
      <c r="F40" s="18">
        <f>SUM(F38:F39)</f>
        <v>6338590.8180000009</v>
      </c>
      <c r="G40" s="10"/>
      <c r="H40" s="9"/>
      <c r="I40" s="9"/>
      <c r="J40" s="15"/>
      <c r="K40" s="16"/>
      <c r="L40" s="15"/>
      <c r="M40" s="17"/>
    </row>
    <row r="41" spans="1:13" x14ac:dyDescent="0.3">
      <c r="A41" s="103" t="s">
        <v>13</v>
      </c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5"/>
    </row>
    <row r="42" spans="1:13" ht="36" customHeight="1" x14ac:dyDescent="0.3">
      <c r="A42" s="85" t="s">
        <v>83</v>
      </c>
      <c r="B42" s="85" t="s">
        <v>11</v>
      </c>
      <c r="C42" s="85" t="s">
        <v>7</v>
      </c>
      <c r="D42" s="85" t="s">
        <v>91</v>
      </c>
      <c r="E42" s="106">
        <v>324430.96999999997</v>
      </c>
      <c r="F42" s="106">
        <f>E42*4.6</f>
        <v>1492382.4619999998</v>
      </c>
      <c r="G42" s="106">
        <f>E42/6</f>
        <v>54071.828333333331</v>
      </c>
      <c r="H42" s="106">
        <f>F42/6</f>
        <v>248730.4103333333</v>
      </c>
      <c r="I42" s="106">
        <v>85</v>
      </c>
      <c r="J42" s="36" t="s">
        <v>23</v>
      </c>
      <c r="K42" s="36">
        <v>60</v>
      </c>
      <c r="L42" s="76" t="s">
        <v>85</v>
      </c>
      <c r="M42" s="90">
        <v>80</v>
      </c>
    </row>
    <row r="43" spans="1:13" ht="18.600000000000001" customHeight="1" x14ac:dyDescent="0.3">
      <c r="A43" s="86"/>
      <c r="B43" s="86"/>
      <c r="C43" s="86"/>
      <c r="D43" s="86"/>
      <c r="E43" s="107"/>
      <c r="F43" s="107"/>
      <c r="G43" s="107"/>
      <c r="H43" s="107"/>
      <c r="I43" s="107"/>
      <c r="J43" s="33" t="str">
        <f>J46</f>
        <v>Liczba operacji nastawiona na innowacje</v>
      </c>
      <c r="K43" s="33">
        <v>3</v>
      </c>
      <c r="L43" s="77"/>
      <c r="M43" s="91"/>
    </row>
    <row r="44" spans="1:13" ht="24" x14ac:dyDescent="0.3">
      <c r="A44" s="86"/>
      <c r="B44" s="86"/>
      <c r="C44" s="86"/>
      <c r="D44" s="86"/>
      <c r="E44" s="107"/>
      <c r="F44" s="107"/>
      <c r="G44" s="107"/>
      <c r="H44" s="107"/>
      <c r="I44" s="107"/>
      <c r="J44" s="36" t="s">
        <v>24</v>
      </c>
      <c r="K44" s="36">
        <v>6</v>
      </c>
      <c r="L44" s="77"/>
      <c r="M44" s="91"/>
    </row>
    <row r="45" spans="1:13" ht="24" x14ac:dyDescent="0.3">
      <c r="A45" s="85" t="s">
        <v>84</v>
      </c>
      <c r="B45" s="85" t="s">
        <v>11</v>
      </c>
      <c r="C45" s="85" t="s">
        <v>10</v>
      </c>
      <c r="D45" s="85" t="s">
        <v>91</v>
      </c>
      <c r="E45" s="106">
        <v>648861.93000000005</v>
      </c>
      <c r="F45" s="106">
        <f>E45*4.6</f>
        <v>2984764.878</v>
      </c>
      <c r="G45" s="106">
        <f>E45/6</f>
        <v>108143.65500000001</v>
      </c>
      <c r="H45" s="106">
        <f>F45/6</f>
        <v>497460.81300000002</v>
      </c>
      <c r="I45" s="106">
        <v>85</v>
      </c>
      <c r="J45" s="36" t="s">
        <v>21</v>
      </c>
      <c r="K45" s="65">
        <v>80</v>
      </c>
      <c r="L45" s="76" t="s">
        <v>104</v>
      </c>
      <c r="M45" s="76">
        <v>6</v>
      </c>
    </row>
    <row r="46" spans="1:13" x14ac:dyDescent="0.3">
      <c r="A46" s="86"/>
      <c r="B46" s="86"/>
      <c r="C46" s="86"/>
      <c r="D46" s="86"/>
      <c r="E46" s="107"/>
      <c r="F46" s="107"/>
      <c r="G46" s="107"/>
      <c r="H46" s="107"/>
      <c r="I46" s="107"/>
      <c r="J46" s="33" t="s">
        <v>27</v>
      </c>
      <c r="K46" s="33">
        <v>3</v>
      </c>
      <c r="L46" s="77"/>
      <c r="M46" s="77"/>
    </row>
    <row r="47" spans="1:13" ht="24" customHeight="1" x14ac:dyDescent="0.3">
      <c r="A47" s="87"/>
      <c r="B47" s="87"/>
      <c r="C47" s="87"/>
      <c r="D47" s="87"/>
      <c r="E47" s="108"/>
      <c r="F47" s="108"/>
      <c r="G47" s="108"/>
      <c r="H47" s="108"/>
      <c r="I47" s="108"/>
      <c r="J47" s="36" t="s">
        <v>22</v>
      </c>
      <c r="K47" s="36">
        <v>40</v>
      </c>
      <c r="L47" s="78"/>
      <c r="M47" s="78"/>
    </row>
    <row r="48" spans="1:13" ht="24" customHeight="1" x14ac:dyDescent="0.3">
      <c r="A48" s="82" t="s">
        <v>79</v>
      </c>
      <c r="B48" s="82" t="s">
        <v>6</v>
      </c>
      <c r="C48" s="82" t="s">
        <v>65</v>
      </c>
      <c r="D48" s="82" t="s">
        <v>92</v>
      </c>
      <c r="E48" s="79">
        <f>65000+17136.75</f>
        <v>82136.75</v>
      </c>
      <c r="F48" s="79">
        <f>E48*4.6</f>
        <v>377829.05</v>
      </c>
      <c r="G48" s="79">
        <f>E48/6</f>
        <v>13689.458333333334</v>
      </c>
      <c r="H48" s="79">
        <f>F48/6</f>
        <v>62971.508333333331</v>
      </c>
      <c r="I48" s="79" t="str">
        <f>I50</f>
        <v>100 / 75</v>
      </c>
      <c r="J48" s="51" t="s">
        <v>77</v>
      </c>
      <c r="K48" s="33">
        <v>6</v>
      </c>
      <c r="L48" s="171" t="s">
        <v>59</v>
      </c>
      <c r="M48" s="171">
        <f>30*6</f>
        <v>180</v>
      </c>
    </row>
    <row r="49" spans="1:13" ht="24" customHeight="1" x14ac:dyDescent="0.3">
      <c r="A49" s="83"/>
      <c r="B49" s="83"/>
      <c r="C49" s="83"/>
      <c r="D49" s="83"/>
      <c r="E49" s="80"/>
      <c r="F49" s="80"/>
      <c r="G49" s="80"/>
      <c r="H49" s="80"/>
      <c r="I49" s="80"/>
      <c r="J49" s="57" t="str">
        <f>J25</f>
        <v>Liczba operacji poprawiających dostęp do usług lub infrastruktury seniorom lub osobom w niekorzystnej sytuacji</v>
      </c>
      <c r="K49" s="33">
        <v>6</v>
      </c>
      <c r="L49" s="171"/>
      <c r="M49" s="171"/>
    </row>
    <row r="50" spans="1:13" ht="24" customHeight="1" x14ac:dyDescent="0.3">
      <c r="A50" s="98" t="s">
        <v>69</v>
      </c>
      <c r="B50" s="98" t="s">
        <v>6</v>
      </c>
      <c r="C50" s="98" t="s">
        <v>49</v>
      </c>
      <c r="D50" s="98" t="s">
        <v>92</v>
      </c>
      <c r="E50" s="111">
        <f>75000+17136.75</f>
        <v>92136.75</v>
      </c>
      <c r="F50" s="111">
        <f>E50*4.65</f>
        <v>428435.88750000001</v>
      </c>
      <c r="G50" s="111">
        <f>E50/6</f>
        <v>15356.125</v>
      </c>
      <c r="H50" s="128">
        <f>F50/6</f>
        <v>71405.981249999997</v>
      </c>
      <c r="I50" s="128" t="s">
        <v>55</v>
      </c>
      <c r="J50" s="57" t="s">
        <v>106</v>
      </c>
      <c r="K50" s="33">
        <v>6</v>
      </c>
      <c r="L50" s="93" t="str">
        <f>L48</f>
        <v>Łączenie obszarów wiejskich w Europie: odsetek ludności wiejskiej korzystającej z lepszego dostępu do usług i infrastruktury dzięki wsparciu z WPR (liczba osób)</v>
      </c>
      <c r="M50" s="167">
        <f>20*6</f>
        <v>120</v>
      </c>
    </row>
    <row r="51" spans="1:13" ht="29.4" customHeight="1" x14ac:dyDescent="0.3">
      <c r="A51" s="98"/>
      <c r="B51" s="98"/>
      <c r="C51" s="98"/>
      <c r="D51" s="98"/>
      <c r="E51" s="111"/>
      <c r="F51" s="111"/>
      <c r="G51" s="111"/>
      <c r="H51" s="128"/>
      <c r="I51" s="128"/>
      <c r="J51" s="42" t="s">
        <v>78</v>
      </c>
      <c r="K51" s="42">
        <v>6</v>
      </c>
      <c r="L51" s="93"/>
      <c r="M51" s="167"/>
    </row>
    <row r="52" spans="1:13" ht="35.4" customHeight="1" x14ac:dyDescent="0.3">
      <c r="A52" s="98"/>
      <c r="B52" s="98"/>
      <c r="C52" s="98"/>
      <c r="D52" s="98"/>
      <c r="E52" s="111"/>
      <c r="F52" s="111"/>
      <c r="G52" s="111"/>
      <c r="H52" s="128"/>
      <c r="I52" s="128"/>
      <c r="J52" s="42" t="str">
        <f>J6</f>
        <v>Liczba operacji poprawiających dostęp do usług lub infrastruktury seniorom, osobom młodym lub osobom w niekorzystnej sytuacji</v>
      </c>
      <c r="K52" s="42">
        <v>6</v>
      </c>
      <c r="L52" s="94"/>
      <c r="M52" s="169"/>
    </row>
    <row r="53" spans="1:13" ht="34.200000000000003" customHeight="1" x14ac:dyDescent="0.3">
      <c r="A53" s="98" t="s">
        <v>45</v>
      </c>
      <c r="B53" s="98" t="s">
        <v>6</v>
      </c>
      <c r="C53" s="82" t="s">
        <v>64</v>
      </c>
      <c r="D53" s="82" t="s">
        <v>91</v>
      </c>
      <c r="E53" s="79">
        <v>32000</v>
      </c>
      <c r="F53" s="79">
        <f>E53*4.65</f>
        <v>148800</v>
      </c>
      <c r="G53" s="79">
        <f>E53/6</f>
        <v>5333.333333333333</v>
      </c>
      <c r="H53" s="123">
        <f>F53/6</f>
        <v>24800</v>
      </c>
      <c r="I53" s="123">
        <v>100</v>
      </c>
      <c r="J53" s="42" t="s">
        <v>44</v>
      </c>
      <c r="K53" s="43">
        <v>6</v>
      </c>
      <c r="L53" s="92" t="str">
        <f>L50</f>
        <v>Łączenie obszarów wiejskich w Europie: odsetek ludności wiejskiej korzystającej z lepszego dostępu do usług i infrastruktury dzięki wsparciu z WPR (liczba osób)</v>
      </c>
      <c r="M53" s="166">
        <f>5*6</f>
        <v>30</v>
      </c>
    </row>
    <row r="54" spans="1:13" ht="33" customHeight="1" x14ac:dyDescent="0.3">
      <c r="A54" s="98"/>
      <c r="B54" s="98"/>
      <c r="C54" s="83"/>
      <c r="D54" s="83"/>
      <c r="E54" s="80"/>
      <c r="F54" s="80"/>
      <c r="G54" s="80"/>
      <c r="H54" s="124"/>
      <c r="I54" s="124"/>
      <c r="J54" s="42" t="s">
        <v>86</v>
      </c>
      <c r="K54" s="43">
        <v>3</v>
      </c>
      <c r="L54" s="93"/>
      <c r="M54" s="167"/>
    </row>
    <row r="55" spans="1:13" ht="43.2" customHeight="1" x14ac:dyDescent="0.3">
      <c r="A55" s="98"/>
      <c r="B55" s="98"/>
      <c r="C55" s="89"/>
      <c r="D55" s="89"/>
      <c r="E55" s="81"/>
      <c r="F55" s="81"/>
      <c r="G55" s="81"/>
      <c r="H55" s="125"/>
      <c r="I55" s="125"/>
      <c r="J55" s="42" t="str">
        <f>J6</f>
        <v>Liczba operacji poprawiających dostęp do usług lub infrastruktury seniorom, osobom młodym lub osobom w niekorzystnej sytuacji</v>
      </c>
      <c r="K55" s="43">
        <v>3</v>
      </c>
      <c r="L55" s="94"/>
      <c r="M55" s="169"/>
    </row>
    <row r="56" spans="1:13" ht="36" customHeight="1" x14ac:dyDescent="0.3">
      <c r="A56" s="98" t="s">
        <v>80</v>
      </c>
      <c r="B56" s="98" t="s">
        <v>6</v>
      </c>
      <c r="C56" s="122" t="s">
        <v>81</v>
      </c>
      <c r="D56" s="98" t="s">
        <v>91</v>
      </c>
      <c r="E56" s="79">
        <v>22000</v>
      </c>
      <c r="F56" s="123">
        <f>E56*4.65</f>
        <v>102300.00000000001</v>
      </c>
      <c r="G56" s="79">
        <f>E56</f>
        <v>22000</v>
      </c>
      <c r="H56" s="123">
        <f>E56*4.65</f>
        <v>102300.00000000001</v>
      </c>
      <c r="I56" s="123">
        <v>100</v>
      </c>
      <c r="J56" s="42" t="s">
        <v>103</v>
      </c>
      <c r="K56" s="43">
        <v>1</v>
      </c>
      <c r="L56" s="92" t="str">
        <f>L53</f>
        <v>Łączenie obszarów wiejskich w Europie: odsetek ludności wiejskiej korzystającej z lepszego dostępu do usług i infrastruktury dzięki wsparciu z WPR (liczba osób)</v>
      </c>
      <c r="M56" s="166">
        <v>10</v>
      </c>
    </row>
    <row r="57" spans="1:13" ht="39.6" customHeight="1" x14ac:dyDescent="0.3">
      <c r="A57" s="98"/>
      <c r="B57" s="98"/>
      <c r="C57" s="122"/>
      <c r="D57" s="98"/>
      <c r="E57" s="80"/>
      <c r="F57" s="124"/>
      <c r="G57" s="80"/>
      <c r="H57" s="124"/>
      <c r="I57" s="124"/>
      <c r="J57" s="42" t="s">
        <v>97</v>
      </c>
      <c r="K57" s="43">
        <v>1</v>
      </c>
      <c r="L57" s="93"/>
      <c r="M57" s="167"/>
    </row>
    <row r="58" spans="1:13" ht="33.6" customHeight="1" x14ac:dyDescent="0.3">
      <c r="A58" s="98"/>
      <c r="B58" s="98"/>
      <c r="C58" s="122"/>
      <c r="D58" s="98"/>
      <c r="E58" s="81"/>
      <c r="F58" s="125"/>
      <c r="G58" s="81"/>
      <c r="H58" s="125"/>
      <c r="I58" s="125"/>
      <c r="J58" s="42" t="str">
        <f>J51</f>
        <v>Liczba operacji polegających na włączeniu społecznym lub cyfrowym młodzieży</v>
      </c>
      <c r="K58" s="43">
        <v>1</v>
      </c>
      <c r="L58" s="94"/>
      <c r="M58" s="169"/>
    </row>
    <row r="59" spans="1:13" x14ac:dyDescent="0.3">
      <c r="A59" s="131" t="s">
        <v>34</v>
      </c>
      <c r="B59" s="132"/>
      <c r="C59" s="132"/>
      <c r="D59" s="133"/>
      <c r="E59" s="28">
        <f>SUM(E48:E56)</f>
        <v>228273.5</v>
      </c>
      <c r="F59" s="28">
        <f>SUM(F48:F56)</f>
        <v>1057364.9375</v>
      </c>
      <c r="G59" s="3"/>
      <c r="H59" s="4"/>
      <c r="I59" s="4"/>
      <c r="J59" s="7"/>
      <c r="K59" s="7"/>
      <c r="L59" s="7"/>
      <c r="M59" s="6"/>
    </row>
    <row r="60" spans="1:13" x14ac:dyDescent="0.3">
      <c r="A60" s="134" t="s">
        <v>35</v>
      </c>
      <c r="B60" s="135"/>
      <c r="C60" s="135"/>
      <c r="D60" s="136"/>
      <c r="E60" s="29">
        <f>SUM(E42:E47)</f>
        <v>973292.9</v>
      </c>
      <c r="F60" s="29">
        <f>SUM(F42:F47)</f>
        <v>4477147.34</v>
      </c>
      <c r="G60" s="3"/>
      <c r="H60" s="4"/>
      <c r="I60" s="4"/>
      <c r="J60" s="7"/>
      <c r="K60" s="7"/>
      <c r="L60" s="7"/>
      <c r="M60" s="6"/>
    </row>
    <row r="61" spans="1:13" x14ac:dyDescent="0.3">
      <c r="A61" s="137" t="s">
        <v>38</v>
      </c>
      <c r="B61" s="138"/>
      <c r="C61" s="138"/>
      <c r="D61" s="139"/>
      <c r="E61" s="30">
        <f>SUM(E59:E60)</f>
        <v>1201566.3999999999</v>
      </c>
      <c r="F61" s="30">
        <f>SUM(F59:F60)</f>
        <v>5534512.2774999999</v>
      </c>
      <c r="G61" s="21"/>
      <c r="H61" s="22"/>
      <c r="I61" s="22"/>
      <c r="J61" s="23"/>
      <c r="K61" s="23"/>
      <c r="L61" s="23"/>
      <c r="M61" s="24"/>
    </row>
    <row r="62" spans="1:13" x14ac:dyDescent="0.3">
      <c r="A62" s="151" t="s">
        <v>32</v>
      </c>
      <c r="B62" s="151"/>
      <c r="C62" s="151"/>
      <c r="D62" s="151"/>
      <c r="E62" s="25">
        <f>SUM(E20,E38,E59)</f>
        <v>2000000.0003225806</v>
      </c>
      <c r="F62" s="25">
        <f>SUM(F20,F38,F59)</f>
        <v>9213564.9035</v>
      </c>
    </row>
    <row r="63" spans="1:13" x14ac:dyDescent="0.3">
      <c r="A63" s="130" t="s">
        <v>33</v>
      </c>
      <c r="B63" s="130"/>
      <c r="C63" s="130"/>
      <c r="D63" s="130"/>
      <c r="E63" s="26">
        <f>SUM(E21,E39,E60)</f>
        <v>2505439.56</v>
      </c>
      <c r="F63" s="26">
        <f>SUM(F21,F39,F60)</f>
        <v>11586920.802000001</v>
      </c>
    </row>
    <row r="64" spans="1:13" x14ac:dyDescent="0.3">
      <c r="A64" s="129" t="s">
        <v>39</v>
      </c>
      <c r="B64" s="129"/>
      <c r="C64" s="129"/>
      <c r="D64" s="129"/>
      <c r="E64" s="31">
        <f>SUM(E62:E63)</f>
        <v>4505439.5603225809</v>
      </c>
      <c r="F64" s="31">
        <f>SUM(F62:F63)</f>
        <v>20800485.705499999</v>
      </c>
    </row>
    <row r="66" spans="1:10" x14ac:dyDescent="0.3">
      <c r="E66" s="1">
        <f>E62-2000000</f>
        <v>3.2258057035505772E-4</v>
      </c>
    </row>
    <row r="68" spans="1:10" x14ac:dyDescent="0.3">
      <c r="A68" s="45"/>
      <c r="B68" s="45"/>
      <c r="C68" s="45"/>
      <c r="F68" s="48">
        <f>E64+(-E66)</f>
        <v>4505439.5600000005</v>
      </c>
    </row>
    <row r="69" spans="1:10" x14ac:dyDescent="0.3">
      <c r="A69" s="45" t="s">
        <v>50</v>
      </c>
      <c r="B69" s="45"/>
      <c r="C69" s="45"/>
    </row>
    <row r="70" spans="1:10" x14ac:dyDescent="0.3">
      <c r="A70" s="46">
        <v>2000000</v>
      </c>
      <c r="B70" s="45"/>
      <c r="C70" s="45"/>
    </row>
    <row r="71" spans="1:10" x14ac:dyDescent="0.3">
      <c r="A71" s="45" t="s">
        <v>51</v>
      </c>
      <c r="B71" s="126" t="s">
        <v>52</v>
      </c>
      <c r="C71" s="126"/>
      <c r="F71">
        <f>150000/4.6</f>
        <v>32608.695652173916</v>
      </c>
    </row>
    <row r="72" spans="1:10" x14ac:dyDescent="0.3">
      <c r="A72" s="46">
        <f>A70*20/100</f>
        <v>400000</v>
      </c>
      <c r="B72" s="127">
        <f>E24</f>
        <v>50000</v>
      </c>
      <c r="C72" s="126"/>
    </row>
    <row r="73" spans="1:10" ht="36" customHeight="1" x14ac:dyDescent="0.3">
      <c r="A73" s="45" t="s">
        <v>53</v>
      </c>
      <c r="B73" s="150" t="s">
        <v>60</v>
      </c>
      <c r="C73" s="150"/>
      <c r="D73" s="32" t="s">
        <v>61</v>
      </c>
    </row>
    <row r="74" spans="1:10" x14ac:dyDescent="0.3">
      <c r="A74" s="46">
        <f>E64*40/100</f>
        <v>1802175.8241290324</v>
      </c>
      <c r="B74" s="127" t="e">
        <f>SUM(E5,E17,#REF!,E48,E50)</f>
        <v>#REF!</v>
      </c>
      <c r="C74" s="126"/>
      <c r="D74" s="1" t="e">
        <f>SUM(E5,E17,#REF!,E48,E50,E53)</f>
        <v>#REF!</v>
      </c>
    </row>
    <row r="75" spans="1:10" x14ac:dyDescent="0.3">
      <c r="A75" s="47">
        <v>0.4</v>
      </c>
      <c r="B75" s="140" t="e">
        <f>B74*100/E64</f>
        <v>#REF!</v>
      </c>
      <c r="C75" s="140"/>
      <c r="D75" s="50" t="e">
        <f>D74*100/E64</f>
        <v>#REF!</v>
      </c>
    </row>
    <row r="77" spans="1:10" x14ac:dyDescent="0.3">
      <c r="J77">
        <v>150000</v>
      </c>
    </row>
    <row r="78" spans="1:10" x14ac:dyDescent="0.3">
      <c r="D78" s="1">
        <f>E15</f>
        <v>163044</v>
      </c>
      <c r="E78" s="1">
        <f t="shared" ref="E78:G78" si="0">F15</f>
        <v>750002.39999999991</v>
      </c>
      <c r="F78" s="1">
        <f t="shared" si="0"/>
        <v>65217.391304347831</v>
      </c>
      <c r="G78" s="1" t="str">
        <f t="shared" si="0"/>
        <v>150 tyś. x 1, 300 tyś. x 2</v>
      </c>
      <c r="H78" s="1">
        <f t="shared" ref="H78" si="1">I12</f>
        <v>65</v>
      </c>
      <c r="J78" s="1">
        <f>E78-J77</f>
        <v>600002.39999999991</v>
      </c>
    </row>
    <row r="79" spans="1:10" x14ac:dyDescent="0.3">
      <c r="J79" s="1">
        <f>J78/500000</f>
        <v>1.2000047999999999</v>
      </c>
    </row>
    <row r="80" spans="1:10" x14ac:dyDescent="0.3">
      <c r="J80">
        <f>J78/2</f>
        <v>300001.19999999995</v>
      </c>
    </row>
    <row r="81" spans="6:6" x14ac:dyDescent="0.3">
      <c r="F81">
        <f>37000*10/100</f>
        <v>3700</v>
      </c>
    </row>
  </sheetData>
  <mergeCells count="201">
    <mergeCell ref="L50:L52"/>
    <mergeCell ref="M50:M52"/>
    <mergeCell ref="I3:I4"/>
    <mergeCell ref="I56:I58"/>
    <mergeCell ref="L56:L58"/>
    <mergeCell ref="M56:M58"/>
    <mergeCell ref="C32:C34"/>
    <mergeCell ref="D32:D34"/>
    <mergeCell ref="E32:E34"/>
    <mergeCell ref="F32:F34"/>
    <mergeCell ref="G32:G34"/>
    <mergeCell ref="H32:H34"/>
    <mergeCell ref="I32:I34"/>
    <mergeCell ref="I45:I47"/>
    <mergeCell ref="A39:D39"/>
    <mergeCell ref="L48:L49"/>
    <mergeCell ref="M48:M49"/>
    <mergeCell ref="L53:L55"/>
    <mergeCell ref="M53:M55"/>
    <mergeCell ref="I53:I55"/>
    <mergeCell ref="H53:H55"/>
    <mergeCell ref="H48:H49"/>
    <mergeCell ref="F30:F31"/>
    <mergeCell ref="E30:E31"/>
    <mergeCell ref="H30:H31"/>
    <mergeCell ref="G30:G31"/>
    <mergeCell ref="L27:L29"/>
    <mergeCell ref="M25:M26"/>
    <mergeCell ref="M32:M34"/>
    <mergeCell ref="H5:H8"/>
    <mergeCell ref="I5:I8"/>
    <mergeCell ref="I17:I19"/>
    <mergeCell ref="G35:G37"/>
    <mergeCell ref="H35:H37"/>
    <mergeCell ref="M9:M10"/>
    <mergeCell ref="L12:L13"/>
    <mergeCell ref="M12:M13"/>
    <mergeCell ref="L17:L18"/>
    <mergeCell ref="M17:M18"/>
    <mergeCell ref="M5:M8"/>
    <mergeCell ref="M35:M37"/>
    <mergeCell ref="M27:M29"/>
    <mergeCell ref="G17:G19"/>
    <mergeCell ref="H17:H19"/>
    <mergeCell ref="G5:G8"/>
    <mergeCell ref="L25:L26"/>
    <mergeCell ref="B75:C75"/>
    <mergeCell ref="I9:I11"/>
    <mergeCell ref="I12:I14"/>
    <mergeCell ref="I30:I31"/>
    <mergeCell ref="I24:I26"/>
    <mergeCell ref="D15:D16"/>
    <mergeCell ref="E15:E16"/>
    <mergeCell ref="F15:F16"/>
    <mergeCell ref="G15:G16"/>
    <mergeCell ref="H15:H16"/>
    <mergeCell ref="I15:I16"/>
    <mergeCell ref="H9:H11"/>
    <mergeCell ref="A21:D21"/>
    <mergeCell ref="A24:A26"/>
    <mergeCell ref="B24:B26"/>
    <mergeCell ref="C24:C26"/>
    <mergeCell ref="E12:E14"/>
    <mergeCell ref="B9:B11"/>
    <mergeCell ref="I35:I37"/>
    <mergeCell ref="B74:C74"/>
    <mergeCell ref="B73:C73"/>
    <mergeCell ref="I50:I52"/>
    <mergeCell ref="I42:I44"/>
    <mergeCell ref="A62:D62"/>
    <mergeCell ref="G42:G44"/>
    <mergeCell ref="H42:H44"/>
    <mergeCell ref="B48:B49"/>
    <mergeCell ref="C48:C49"/>
    <mergeCell ref="D48:D49"/>
    <mergeCell ref="E48:E49"/>
    <mergeCell ref="B71:C71"/>
    <mergeCell ref="B72:C72"/>
    <mergeCell ref="G56:G58"/>
    <mergeCell ref="H56:H58"/>
    <mergeCell ref="F45:F47"/>
    <mergeCell ref="G45:G47"/>
    <mergeCell ref="H45:H47"/>
    <mergeCell ref="H50:H52"/>
    <mergeCell ref="G50:G52"/>
    <mergeCell ref="F50:F52"/>
    <mergeCell ref="E50:E52"/>
    <mergeCell ref="D50:D52"/>
    <mergeCell ref="C50:C52"/>
    <mergeCell ref="A64:D64"/>
    <mergeCell ref="A63:D63"/>
    <mergeCell ref="A59:D59"/>
    <mergeCell ref="A60:D60"/>
    <mergeCell ref="A61:D61"/>
    <mergeCell ref="I48:I49"/>
    <mergeCell ref="D53:D55"/>
    <mergeCell ref="C53:C55"/>
    <mergeCell ref="B53:B55"/>
    <mergeCell ref="A53:A55"/>
    <mergeCell ref="A56:A58"/>
    <mergeCell ref="B56:B58"/>
    <mergeCell ref="G53:G55"/>
    <mergeCell ref="F53:F55"/>
    <mergeCell ref="E53:E55"/>
    <mergeCell ref="C56:C58"/>
    <mergeCell ref="F48:F49"/>
    <mergeCell ref="G48:G49"/>
    <mergeCell ref="D56:D58"/>
    <mergeCell ref="E56:E58"/>
    <mergeCell ref="F56:F58"/>
    <mergeCell ref="A48:A49"/>
    <mergeCell ref="A2:M2"/>
    <mergeCell ref="A23:M23"/>
    <mergeCell ref="A3:A4"/>
    <mergeCell ref="B3:B4"/>
    <mergeCell ref="C9:C11"/>
    <mergeCell ref="A22:D22"/>
    <mergeCell ref="H3:H4"/>
    <mergeCell ref="D9:D11"/>
    <mergeCell ref="E9:E11"/>
    <mergeCell ref="F9:F11"/>
    <mergeCell ref="G9:G11"/>
    <mergeCell ref="D3:D4"/>
    <mergeCell ref="E3:E4"/>
    <mergeCell ref="F3:F4"/>
    <mergeCell ref="G3:G4"/>
    <mergeCell ref="L5:L8"/>
    <mergeCell ref="B12:B14"/>
    <mergeCell ref="C12:C14"/>
    <mergeCell ref="G12:G14"/>
    <mergeCell ref="H12:H14"/>
    <mergeCell ref="D12:D14"/>
    <mergeCell ref="A12:A14"/>
    <mergeCell ref="C17:C19"/>
    <mergeCell ref="L9:L10"/>
    <mergeCell ref="B5:B8"/>
    <mergeCell ref="C5:C8"/>
    <mergeCell ref="D5:D8"/>
    <mergeCell ref="E5:E8"/>
    <mergeCell ref="F5:F8"/>
    <mergeCell ref="A9:A11"/>
    <mergeCell ref="C42:C44"/>
    <mergeCell ref="D42:D44"/>
    <mergeCell ref="E42:E44"/>
    <mergeCell ref="F42:F44"/>
    <mergeCell ref="F17:F19"/>
    <mergeCell ref="C27:C29"/>
    <mergeCell ref="A17:A19"/>
    <mergeCell ref="A32:A34"/>
    <mergeCell ref="A5:A8"/>
    <mergeCell ref="E35:E37"/>
    <mergeCell ref="F35:F37"/>
    <mergeCell ref="F12:F14"/>
    <mergeCell ref="C3:C4"/>
    <mergeCell ref="A20:D20"/>
    <mergeCell ref="A15:A16"/>
    <mergeCell ref="B15:B16"/>
    <mergeCell ref="C15:C16"/>
    <mergeCell ref="C35:C37"/>
    <mergeCell ref="D35:D37"/>
    <mergeCell ref="B50:B52"/>
    <mergeCell ref="E17:E19"/>
    <mergeCell ref="B27:B29"/>
    <mergeCell ref="B30:B31"/>
    <mergeCell ref="C30:C31"/>
    <mergeCell ref="D17:D19"/>
    <mergeCell ref="B17:B19"/>
    <mergeCell ref="B42:B44"/>
    <mergeCell ref="D30:D31"/>
    <mergeCell ref="B45:B47"/>
    <mergeCell ref="C45:C47"/>
    <mergeCell ref="D45:D47"/>
    <mergeCell ref="A38:D38"/>
    <mergeCell ref="B32:B34"/>
    <mergeCell ref="A50:A52"/>
    <mergeCell ref="A41:M41"/>
    <mergeCell ref="E45:E47"/>
    <mergeCell ref="L45:L47"/>
    <mergeCell ref="M45:M47"/>
    <mergeCell ref="E24:E26"/>
    <mergeCell ref="F24:F26"/>
    <mergeCell ref="G24:G26"/>
    <mergeCell ref="H24:H26"/>
    <mergeCell ref="F27:F29"/>
    <mergeCell ref="E27:E29"/>
    <mergeCell ref="D27:D29"/>
    <mergeCell ref="A40:D40"/>
    <mergeCell ref="A27:A29"/>
    <mergeCell ref="A30:A31"/>
    <mergeCell ref="A42:A44"/>
    <mergeCell ref="A45:A47"/>
    <mergeCell ref="A35:A37"/>
    <mergeCell ref="B35:B37"/>
    <mergeCell ref="D24:D26"/>
    <mergeCell ref="M42:M44"/>
    <mergeCell ref="G27:G29"/>
    <mergeCell ref="L42:L44"/>
    <mergeCell ref="H27:H29"/>
    <mergeCell ref="I27:I29"/>
    <mergeCell ref="L32:L34"/>
    <mergeCell ref="L35:L37"/>
  </mergeCells>
  <pageMargins left="0.7" right="0.7" top="0.75" bottom="0.75" header="0.3" footer="0.3"/>
  <pageSetup paperSize="8" scale="92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Wskaźniki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EWELINA</dc:creator>
  <cp:lastModifiedBy>EWELINA</cp:lastModifiedBy>
  <cp:lastPrinted>2023-04-27T18:44:14Z</cp:lastPrinted>
  <dcterms:created xsi:type="dcterms:W3CDTF">2023-01-19T12:10:47Z</dcterms:created>
  <dcterms:modified xsi:type="dcterms:W3CDTF">2023-05-18T18:49:30Z</dcterms:modified>
</cp:coreProperties>
</file>